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6200" windowHeight="11595" tabRatio="667" activeTab="2"/>
  </bookViews>
  <sheets>
    <sheet name="Recursos" sheetId="6" r:id="rId1"/>
    <sheet name="Gastos Antes" sheetId="8" r:id="rId2"/>
    <sheet name="Orçamento" sheetId="1" r:id="rId3"/>
    <sheet name="Dados do Gráfico" sheetId="4" state="hidden" r:id="rId4"/>
    <sheet name="compras" sheetId="10" r:id="rId5"/>
    <sheet name="Configuração" sheetId="2" r:id="rId6"/>
  </sheets>
  <definedNames>
    <definedName name="categorias_de_despesas_exibidas">OFFSET(CélulaInicial,15-contagem_de_categorias_de_despesas_exibidas+1,,contagem_de_categorias_de_despesas_exibidas)</definedName>
    <definedName name="categorias_despesas" localSheetId="1">tblCategoriasDespesa[despesas]</definedName>
    <definedName name="categorias_despesas">tblCategoriasDespesa[despesas]</definedName>
    <definedName name="CélulaInicial">'Dados do Gráfico'!$B$6</definedName>
    <definedName name="contagem_de_categorias_de_despesas_exibidas">COUNTIF('Dados do Gráfico'!$B$7:$B$21,"&gt;"&amp; " ")</definedName>
    <definedName name="despesas_animais" localSheetId="1">tblDespesasAnimais[animais de estimação]</definedName>
    <definedName name="despesas_animais">tblDespesasAnimais[animais de estimação]</definedName>
    <definedName name="despesas_assinaturas" localSheetId="1">tblDespesasAssinaturas[assinaturas]</definedName>
    <definedName name="despesas_assinaturas">tblDespesasAssinaturas[assinaturas]</definedName>
    <definedName name="despesas_caridade" localSheetId="1">tblDespesasCaridade[caridade]</definedName>
    <definedName name="despesas_caridade">tblDespesasCaridade[caridade]</definedName>
    <definedName name="despesas_casa" localSheetId="1">tblDespesasCasa[casa]</definedName>
    <definedName name="despesas_casa">tblDespesasCasa[casa]</definedName>
    <definedName name="despesas_diárias" localSheetId="1">tblDespesasDiárias[despesas diárias]</definedName>
    <definedName name="despesas_diárias">tblDespesasDiárias[despesas diárias]</definedName>
    <definedName name="despesas_div" localSheetId="1">tblDespesasDiv[diversos]</definedName>
    <definedName name="despesas_div">tblDespesasDiv[diversos]</definedName>
    <definedName name="despesas_educação" localSheetId="1">tblDespesasEducação[educação]</definedName>
    <definedName name="despesas_educação">tblDespesasEducação[educação]</definedName>
    <definedName name="despesas_entretenimento" localSheetId="1">tblDespesasEntretenimento[diversão]</definedName>
    <definedName name="despesas_entretenimento">tblDespesasEntretenimento[diversão]</definedName>
    <definedName name="despesas_férias" localSheetId="1">tblDespesasFérias[férias]</definedName>
    <definedName name="despesas_férias">tblDespesasFérias[férias]</definedName>
    <definedName name="despesas_filhos" localSheetId="1">tblDespesasFilhos[filhos]</definedName>
    <definedName name="despesas_filhos">tblDespesasFilhos[filhos]</definedName>
    <definedName name="despesas_obrigações" localSheetId="1">tblDespesasObrigações[obrigações]</definedName>
    <definedName name="despesas_obrigações">tblDespesasObrigações[obrigações]</definedName>
    <definedName name="despesas_poupança" localSheetId="1">tblDespesasPoupança[poupança]</definedName>
    <definedName name="despesas_poupança">tblDespesasPoupança[poupança]</definedName>
    <definedName name="despesas_saúde" localSheetId="1">tblDespesasSaúde[saúde]</definedName>
    <definedName name="despesas_saúde">tblDespesasSaúde[saúde]</definedName>
    <definedName name="despesas_seguro" localSheetId="1">tblDespesasSeguro[seguro]</definedName>
    <definedName name="despesas_seguro">tblDespesasSeguro[seguro]</definedName>
    <definedName name="despesas_transporte" localSheetId="1">tblDespesasTransporte[transporte]</definedName>
    <definedName name="despesas_transporte">tblDespesasTransporte[transporte]</definedName>
    <definedName name="exibir_período_long">CHOOSE(período,"janeiro","fevereiro","março","abril","mai","junho","julho","agosto","setembro","outubro","novembro","dezembro","ano")</definedName>
    <definedName name="frmDetalhesBotão">#REF!</definedName>
    <definedName name="Imprimir_Títulos" localSheetId="2">Orçamento!$1:$4</definedName>
    <definedName name="lista_de_categorias_de_despesas_01" localSheetId="1">CHOOSE(MATCH(INDEX(Orçamento!$B$21,,1),'Gastos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1">CHOOSE(MATCH(INDEX(Orçamento!$B$21,,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2" localSheetId="1">CHOOSE(MATCH(INDEX(Orçamento!$B$33,,1),'Gastos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2">CHOOSE(MATCH(INDEX(Orçamento!$B$33,,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3" localSheetId="1">CHOOSE(MATCH(INDEX(Orçamento!$B$42,,1),'Gastos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3">CHOOSE(MATCH(INDEX(Orçamento!$B$42,,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4" localSheetId="1">CHOOSE(MATCH(INDEX(Orçamento!$B$52,,1),'Gastos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4">CHOOSE(MATCH(INDEX(Orçamento!$B$52,,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5" localSheetId="1">CHOOSE(MATCH(INDEX(Orçamento!$B$61,,1),'Gastos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5">CHOOSE(MATCH(INDEX(Orçamento!$B$61,,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6" localSheetId="1">CHOOSE(MATCH(INDEX(Orçamento!$B$69,,1),'Gastos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6">CHOOSE(MATCH(INDEX(Orçamento!$B$69,,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7" localSheetId="1">CHOOSE(MATCH(INDEX(Orçamento!$B$76,,1),'Gastos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7">CHOOSE(MATCH(INDEX(Orçamento!$B$76,,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8" localSheetId="1">CHOOSE(MATCH(INDEX(Orçamento!$B$84,,1),'Gastos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8">CHOOSE(MATCH(INDEX(Orçamento!$B$84,,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09" localSheetId="1">CHOOSE(MATCH(INDEX(Orçamento!$B$94,,1),'Gastos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09">CHOOSE(MATCH(INDEX(Orçamento!$B$94,,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0" localSheetId="1">CHOOSE(MATCH(INDEX(Orçamento!$B$101,,1),'Gastos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0">CHOOSE(MATCH(INDEX(Orçamento!$B$101,,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1" localSheetId="1">CHOOSE(MATCH(INDEX(Orçamento!$B$110,,1),'Gastos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1">CHOOSE(MATCH(INDEX(Orçamento!$B$110,,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2" localSheetId="1">CHOOSE(MATCH(INDEX(Orçamento!$B$117,,1),'Gastos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2">CHOOSE(MATCH(INDEX(Orçamento!$B$117,,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3" localSheetId="1">CHOOSE(MATCH(INDEX(Orçamento!$B$124,,1),'Gastos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3">CHOOSE(MATCH(INDEX(Orçamento!$B$124,,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4" localSheetId="1">CHOOSE(MATCH(INDEX(Orçamento!$B$131,,1),'Gastos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4">CHOOSE(MATCH(INDEX(Orçamento!$B$131,,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lista_de_categorias_de_despesas_15" localSheetId="1">CHOOSE(MATCH(INDEX(Orçamento!$B$138,,1),'Gastos Antes'!categorias_despesas,0),0,'Gastos Antes'!despesas_casa,'Gastos Antes'!despesas_diárias,'Gastos Antes'!despesas_filhos,'Gastos Antes'!despesas_transporte,'Gastos Antes'!despesas_saúde,'Gastos Antes'!despesas_seguro,'Gastos Antes'!despesas_educação,'Gastos Antes'!despesas_caridade,'Gastos Antes'!despesas_poupança,'Gastos Antes'!despesas_obrigações,'Gastos Antes'!despesas_entretenimento,'Gastos Antes'!despesas_animais,'Gastos Antes'!despesas_assinaturas,'Gastos Antes'!despesas_férias,'Gastos Antes'!despesas_div)</definedName>
    <definedName name="lista_de_categorias_de_despesas_15">CHOOSE(MATCH(INDEX(Orçamento!$B$138,,1),categorias_despesas,0),0,despesas_casa,despesas_diárias,despesas_filhos,despesas_transporte,despesas_saúde,despesas_seguro,despesas_educação,despesas_caridade,despesas_poupança,despesas_obrigações,despesas_entretenimento,despesas_animais,despesas_assinaturas,despesas_férias,despesas_div)</definedName>
    <definedName name="NomeOrçamento">Configuração!$B$1</definedName>
    <definedName name="período">'Dados do Gráfico'!$C$4</definedName>
    <definedName name="renda" localSheetId="1">tblOpçõesLinhaRenda[renda]</definedName>
    <definedName name="renda">tblOpçõesLinhaRenda[renda]</definedName>
    <definedName name="SaldoInicial">Orçamento!$C$5</definedName>
    <definedName name="valores_do_período_de_categorias_de_despesas_exibidas">OFFSET(categorias_de_despesas_exibidas,,período)</definedName>
  </definedNames>
  <calcPr calcId="145621"/>
</workbook>
</file>

<file path=xl/calcChain.xml><?xml version="1.0" encoding="utf-8"?>
<calcChain xmlns="http://schemas.openxmlformats.org/spreadsheetml/2006/main">
  <c r="O105" i="1" l="1"/>
  <c r="P105" i="1" s="1"/>
  <c r="O103" i="1"/>
  <c r="P103" i="1" s="1"/>
  <c r="O89" i="1"/>
  <c r="P89" i="1" s="1"/>
  <c r="O88" i="1"/>
  <c r="P88" i="1" s="1"/>
  <c r="O87" i="1"/>
  <c r="P87" i="1" s="1"/>
  <c r="C54" i="1"/>
  <c r="J54" i="1" s="1"/>
  <c r="N45" i="1"/>
  <c r="M45" i="1"/>
  <c r="L45" i="1"/>
  <c r="K45" i="1"/>
  <c r="J45" i="1"/>
  <c r="I45" i="1"/>
  <c r="H45" i="1"/>
  <c r="G45" i="1"/>
  <c r="F45" i="1"/>
  <c r="E45" i="1"/>
  <c r="D45" i="1"/>
  <c r="C45" i="1"/>
  <c r="C43" i="1"/>
  <c r="L43" i="1" s="1"/>
  <c r="O23" i="1"/>
  <c r="P23" i="1" s="1"/>
  <c r="O64" i="1"/>
  <c r="P64" i="1" s="1"/>
  <c r="D34" i="1"/>
  <c r="E34" i="1" s="1"/>
  <c r="F34" i="1" s="1"/>
  <c r="G34" i="1" s="1"/>
  <c r="H34" i="1" s="1"/>
  <c r="I34" i="1" s="1"/>
  <c r="J34" i="1" s="1"/>
  <c r="K34" i="1" s="1"/>
  <c r="L34" i="1" s="1"/>
  <c r="M34" i="1" s="1"/>
  <c r="N34" i="1" s="1"/>
  <c r="C34" i="1"/>
  <c r="D17" i="1"/>
  <c r="E17" i="1" s="1"/>
  <c r="F17" i="1" s="1"/>
  <c r="G17" i="1" s="1"/>
  <c r="H17" i="1" s="1"/>
  <c r="I17" i="1" s="1"/>
  <c r="J17" i="1" s="1"/>
  <c r="K17" i="1" s="1"/>
  <c r="L17" i="1" s="1"/>
  <c r="M17" i="1" s="1"/>
  <c r="N17" i="1" s="1"/>
  <c r="D13" i="1"/>
  <c r="E13" i="1" s="1"/>
  <c r="F13" i="1" s="1"/>
  <c r="G13" i="1" s="1"/>
  <c r="H13" i="1" s="1"/>
  <c r="I13" i="1" s="1"/>
  <c r="J13" i="1" s="1"/>
  <c r="K13" i="1" s="1"/>
  <c r="L13" i="1" s="1"/>
  <c r="M13" i="1" s="1"/>
  <c r="N13" i="1" s="1"/>
  <c r="D15" i="1"/>
  <c r="E15" i="1" s="1"/>
  <c r="F15" i="1" s="1"/>
  <c r="G15" i="1" s="1"/>
  <c r="H15" i="1" s="1"/>
  <c r="I15" i="1" s="1"/>
  <c r="J15" i="1" s="1"/>
  <c r="K15" i="1" s="1"/>
  <c r="L15" i="1" s="1"/>
  <c r="M15" i="1" s="1"/>
  <c r="N15" i="1" s="1"/>
  <c r="D22" i="1"/>
  <c r="D29" i="1"/>
  <c r="E29" i="1" s="1"/>
  <c r="F29" i="1" s="1"/>
  <c r="G29" i="1" s="1"/>
  <c r="H29" i="1" s="1"/>
  <c r="I29" i="1" s="1"/>
  <c r="J29" i="1" s="1"/>
  <c r="K29" i="1" s="1"/>
  <c r="L29" i="1" s="1"/>
  <c r="M29" i="1" s="1"/>
  <c r="N29" i="1" s="1"/>
  <c r="D27" i="1"/>
  <c r="E27" i="1" s="1"/>
  <c r="F27" i="1" s="1"/>
  <c r="G27" i="1" s="1"/>
  <c r="H27" i="1" s="1"/>
  <c r="I27" i="1" s="1"/>
  <c r="J27" i="1" s="1"/>
  <c r="K27" i="1" s="1"/>
  <c r="L27" i="1" s="1"/>
  <c r="M27" i="1" s="1"/>
  <c r="N27" i="1" s="1"/>
  <c r="D26" i="1"/>
  <c r="E26" i="1" s="1"/>
  <c r="F26" i="1" s="1"/>
  <c r="G26" i="1" s="1"/>
  <c r="H26" i="1" s="1"/>
  <c r="I26" i="1" s="1"/>
  <c r="J26" i="1" s="1"/>
  <c r="K26" i="1" s="1"/>
  <c r="L26" i="1" s="1"/>
  <c r="M26" i="1" s="1"/>
  <c r="N26" i="1" s="1"/>
  <c r="D25" i="1"/>
  <c r="E25" i="1" s="1"/>
  <c r="F25" i="1" s="1"/>
  <c r="G25" i="1" s="1"/>
  <c r="H25" i="1" s="1"/>
  <c r="I25" i="1" s="1"/>
  <c r="J25" i="1" s="1"/>
  <c r="K25" i="1" s="1"/>
  <c r="L25" i="1" s="1"/>
  <c r="M25" i="1" s="1"/>
  <c r="N25" i="1" s="1"/>
  <c r="D24" i="1"/>
  <c r="E24" i="1" s="1"/>
  <c r="F24" i="1" s="1"/>
  <c r="G24" i="1" s="1"/>
  <c r="H24" i="1" s="1"/>
  <c r="I24" i="1" s="1"/>
  <c r="J24" i="1" s="1"/>
  <c r="K24" i="1" s="1"/>
  <c r="L24" i="1" s="1"/>
  <c r="M24" i="1" s="1"/>
  <c r="N24" i="1" s="1"/>
  <c r="E22" i="1"/>
  <c r="F22" i="1" s="1"/>
  <c r="G22" i="1" s="1"/>
  <c r="H22" i="1" s="1"/>
  <c r="I22" i="1" s="1"/>
  <c r="J22" i="1" s="1"/>
  <c r="K22" i="1" s="1"/>
  <c r="L22" i="1" s="1"/>
  <c r="M22" i="1" s="1"/>
  <c r="N22" i="1" s="1"/>
  <c r="C22" i="1"/>
  <c r="C30" i="1" s="1"/>
  <c r="C14" i="1"/>
  <c r="D14" i="1" s="1"/>
  <c r="E14" i="1" s="1"/>
  <c r="F14" i="1" s="1"/>
  <c r="G14" i="1" s="1"/>
  <c r="H14" i="1" s="1"/>
  <c r="I14" i="1" s="1"/>
  <c r="J14" i="1" s="1"/>
  <c r="K14" i="1" s="1"/>
  <c r="L14" i="1" s="1"/>
  <c r="M14" i="1" s="1"/>
  <c r="N14" i="1" s="1"/>
  <c r="C16" i="1"/>
  <c r="D16" i="1" s="1"/>
  <c r="E16" i="1" s="1"/>
  <c r="F16" i="1" s="1"/>
  <c r="G16" i="1" s="1"/>
  <c r="H16" i="1" s="1"/>
  <c r="I16" i="1" s="1"/>
  <c r="J16" i="1" s="1"/>
  <c r="K16" i="1" s="1"/>
  <c r="L16" i="1" s="1"/>
  <c r="M16" i="1" s="1"/>
  <c r="N16" i="1" s="1"/>
  <c r="C5" i="1"/>
  <c r="F15" i="6"/>
  <c r="F8" i="6"/>
  <c r="B6" i="8"/>
  <c r="B10" i="8"/>
  <c r="B9" i="8"/>
  <c r="B8" i="8"/>
  <c r="B7" i="8"/>
  <c r="D3" i="8"/>
  <c r="C3" i="8"/>
  <c r="B29" i="6"/>
  <c r="D26" i="6"/>
  <c r="H54" i="1" l="1"/>
  <c r="I54" i="1"/>
  <c r="F54" i="1"/>
  <c r="G54" i="1"/>
  <c r="M54" i="1"/>
  <c r="E54" i="1"/>
  <c r="N54" i="1"/>
  <c r="L54" i="1"/>
  <c r="D54" i="1"/>
  <c r="K54" i="1"/>
  <c r="D43" i="1"/>
  <c r="M43" i="1"/>
  <c r="F43" i="1"/>
  <c r="N43" i="1"/>
  <c r="E43" i="1"/>
  <c r="G43" i="1"/>
  <c r="H43" i="1"/>
  <c r="O47" i="1"/>
  <c r="P47" i="1" s="1"/>
  <c r="I43" i="1"/>
  <c r="J43" i="1"/>
  <c r="K43" i="1"/>
  <c r="B20" i="8" l="1"/>
  <c r="C19" i="8"/>
  <c r="D19" i="8" s="1"/>
  <c r="F19" i="8" s="1"/>
  <c r="C18" i="8"/>
  <c r="D18" i="8" s="1"/>
  <c r="F18" i="8" s="1"/>
  <c r="C17" i="8"/>
  <c r="D17" i="8" s="1"/>
  <c r="F17" i="8" s="1"/>
  <c r="C16" i="8"/>
  <c r="D16" i="8" s="1"/>
  <c r="H16" i="8" s="1"/>
  <c r="C15" i="8"/>
  <c r="D15" i="8" s="1"/>
  <c r="F15" i="8" s="1"/>
  <c r="C14" i="8"/>
  <c r="D14" i="8" s="1"/>
  <c r="F14" i="8" s="1"/>
  <c r="C13" i="8"/>
  <c r="D13" i="8" s="1"/>
  <c r="F13" i="8" s="1"/>
  <c r="C12" i="8"/>
  <c r="D12" i="8" s="1"/>
  <c r="F12" i="8" s="1"/>
  <c r="C11" i="8"/>
  <c r="D11" i="8" s="1"/>
  <c r="F11" i="8" s="1"/>
  <c r="C10" i="8"/>
  <c r="D10" i="8" s="1"/>
  <c r="F10" i="8" s="1"/>
  <c r="C9" i="8"/>
  <c r="D9" i="8" s="1"/>
  <c r="F9" i="8" s="1"/>
  <c r="C8" i="8"/>
  <c r="D8" i="8" s="1"/>
  <c r="F8" i="8" s="1"/>
  <c r="C7" i="8"/>
  <c r="C6" i="8"/>
  <c r="D6" i="8" s="1"/>
  <c r="C15" i="6"/>
  <c r="D15" i="6" s="1"/>
  <c r="C16" i="6"/>
  <c r="D16" i="6" s="1"/>
  <c r="F16" i="6" s="1"/>
  <c r="C17" i="6"/>
  <c r="D17" i="6" s="1"/>
  <c r="F17" i="6" s="1"/>
  <c r="C18" i="6"/>
  <c r="D18" i="6" s="1"/>
  <c r="F18" i="6" s="1"/>
  <c r="B19" i="6"/>
  <c r="D7" i="8" l="1"/>
  <c r="F7" i="8" s="1"/>
  <c r="F6" i="8"/>
  <c r="H20" i="8"/>
  <c r="C28" i="1"/>
  <c r="D28" i="1" s="1"/>
  <c r="E28" i="1" s="1"/>
  <c r="F28" i="1" s="1"/>
  <c r="G28" i="1" s="1"/>
  <c r="H28" i="1" s="1"/>
  <c r="I28" i="1" s="1"/>
  <c r="J28" i="1" s="1"/>
  <c r="K28" i="1" s="1"/>
  <c r="L28" i="1" s="1"/>
  <c r="M28" i="1" s="1"/>
  <c r="N28" i="1" s="1"/>
  <c r="O27" i="1"/>
  <c r="P27" i="1" s="1"/>
  <c r="C26" i="6"/>
  <c r="C31" i="6"/>
  <c r="D31" i="6" s="1"/>
  <c r="H31" i="6" s="1"/>
  <c r="C30" i="6"/>
  <c r="D30" i="6" s="1"/>
  <c r="H30" i="6" s="1"/>
  <c r="C29" i="6"/>
  <c r="D29" i="6" s="1"/>
  <c r="H29" i="6" s="1"/>
  <c r="C13" i="6"/>
  <c r="D13" i="6" s="1"/>
  <c r="F13" i="6" s="1"/>
  <c r="C14" i="6"/>
  <c r="D14" i="6" s="1"/>
  <c r="F14" i="6" s="1"/>
  <c r="C12" i="6"/>
  <c r="D12" i="6" s="1"/>
  <c r="F12" i="6" s="1"/>
  <c r="C6" i="6"/>
  <c r="D6" i="6" s="1"/>
  <c r="C7" i="6"/>
  <c r="D7" i="6" s="1"/>
  <c r="F7" i="6" s="1"/>
  <c r="C8" i="6"/>
  <c r="D8" i="6" s="1"/>
  <c r="C9" i="6"/>
  <c r="D9" i="6" s="1"/>
  <c r="F9" i="6" s="1"/>
  <c r="C10" i="6"/>
  <c r="D10" i="6" s="1"/>
  <c r="F10" i="6" s="1"/>
  <c r="C11" i="6"/>
  <c r="D11" i="6" s="1"/>
  <c r="F11" i="6" s="1"/>
  <c r="O28" i="1" l="1"/>
  <c r="P28" i="1" s="1"/>
  <c r="D20" i="8"/>
  <c r="O80" i="1"/>
  <c r="P80" i="1" s="1"/>
  <c r="F20" i="8"/>
  <c r="F6" i="6"/>
  <c r="F19" i="6" s="1"/>
  <c r="D19" i="6"/>
  <c r="B36" i="6"/>
  <c r="H36" i="6"/>
  <c r="D36" i="6"/>
  <c r="F36" i="6"/>
  <c r="H19" i="6"/>
  <c r="B40" i="4" l="1"/>
  <c r="B38" i="4"/>
  <c r="O85" i="1" l="1"/>
  <c r="P85" i="1" s="1"/>
  <c r="B7" i="4"/>
  <c r="B142" i="1"/>
  <c r="B8" i="4"/>
  <c r="B135" i="1"/>
  <c r="B128" i="1"/>
  <c r="B10" i="4"/>
  <c r="B121" i="1"/>
  <c r="B11" i="4"/>
  <c r="B114" i="1"/>
  <c r="B107" i="1"/>
  <c r="B98" i="1"/>
  <c r="B12" i="4"/>
  <c r="B13" i="4"/>
  <c r="B14" i="4"/>
  <c r="B15" i="4"/>
  <c r="B16" i="4"/>
  <c r="B17" i="4"/>
  <c r="B91" i="1"/>
  <c r="B81" i="1"/>
  <c r="B73" i="1"/>
  <c r="B66" i="1"/>
  <c r="B18" i="4"/>
  <c r="B58" i="1"/>
  <c r="B19" i="4"/>
  <c r="B49" i="1"/>
  <c r="B20" i="4"/>
  <c r="B39" i="1"/>
  <c r="B37" i="4"/>
  <c r="B21" i="4"/>
  <c r="B30" i="1"/>
  <c r="O113" i="1"/>
  <c r="P113" i="1" s="1"/>
  <c r="N21" i="4"/>
  <c r="M21" i="4"/>
  <c r="L21" i="4"/>
  <c r="K21" i="4"/>
  <c r="J21" i="4"/>
  <c r="I21" i="4"/>
  <c r="H21" i="4"/>
  <c r="G21" i="4"/>
  <c r="F21" i="4"/>
  <c r="E21" i="4"/>
  <c r="D21" i="4"/>
  <c r="C21" i="4"/>
  <c r="N20" i="4"/>
  <c r="M20" i="4"/>
  <c r="L20" i="4"/>
  <c r="K20" i="4"/>
  <c r="J20" i="4"/>
  <c r="I20" i="4"/>
  <c r="H20" i="4"/>
  <c r="G20" i="4"/>
  <c r="F20" i="4"/>
  <c r="E20" i="4"/>
  <c r="D20" i="4"/>
  <c r="C20" i="4"/>
  <c r="N19" i="4"/>
  <c r="M19" i="4"/>
  <c r="L19" i="4"/>
  <c r="K19" i="4"/>
  <c r="J19" i="4"/>
  <c r="I19" i="4"/>
  <c r="H19" i="4"/>
  <c r="G19" i="4"/>
  <c r="F19" i="4"/>
  <c r="E19" i="4"/>
  <c r="D19" i="4"/>
  <c r="C19" i="4"/>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H16" i="4"/>
  <c r="G16" i="4"/>
  <c r="F16" i="4"/>
  <c r="E16" i="4"/>
  <c r="D16" i="4"/>
  <c r="C16" i="4"/>
  <c r="N15" i="4"/>
  <c r="M15" i="4"/>
  <c r="L15" i="4"/>
  <c r="K15" i="4"/>
  <c r="J15" i="4"/>
  <c r="I15" i="4"/>
  <c r="H15" i="4"/>
  <c r="G15" i="4"/>
  <c r="F15" i="4"/>
  <c r="E15" i="4"/>
  <c r="D15" i="4"/>
  <c r="C15" i="4"/>
  <c r="N14" i="4"/>
  <c r="M14" i="4"/>
  <c r="L14" i="4"/>
  <c r="K14" i="4"/>
  <c r="J14" i="4"/>
  <c r="I14" i="4"/>
  <c r="H14" i="4"/>
  <c r="G14" i="4"/>
  <c r="F14" i="4"/>
  <c r="E14" i="4"/>
  <c r="D14" i="4"/>
  <c r="C14" i="4"/>
  <c r="N13" i="4"/>
  <c r="M13" i="4"/>
  <c r="L13" i="4"/>
  <c r="K13" i="4"/>
  <c r="J13" i="4"/>
  <c r="I13" i="4"/>
  <c r="H13" i="4"/>
  <c r="G13" i="4"/>
  <c r="F13" i="4"/>
  <c r="E13" i="4"/>
  <c r="D13" i="4"/>
  <c r="C13" i="4"/>
  <c r="N12" i="4"/>
  <c r="M12" i="4"/>
  <c r="L12" i="4"/>
  <c r="K12" i="4"/>
  <c r="J12" i="4"/>
  <c r="I12" i="4"/>
  <c r="H12" i="4"/>
  <c r="G12" i="4"/>
  <c r="F12" i="4"/>
  <c r="E12" i="4"/>
  <c r="D12" i="4"/>
  <c r="C12" i="4"/>
  <c r="N11" i="4"/>
  <c r="M11" i="4"/>
  <c r="L11" i="4"/>
  <c r="K11" i="4"/>
  <c r="J11" i="4"/>
  <c r="I11" i="4"/>
  <c r="H11" i="4"/>
  <c r="G11" i="4"/>
  <c r="F11" i="4"/>
  <c r="E11" i="4"/>
  <c r="D11" i="4"/>
  <c r="C11" i="4"/>
  <c r="N10" i="4"/>
  <c r="M10" i="4"/>
  <c r="L10" i="4"/>
  <c r="K10" i="4"/>
  <c r="J10" i="4"/>
  <c r="I10" i="4"/>
  <c r="H10" i="4"/>
  <c r="G10" i="4"/>
  <c r="F10" i="4"/>
  <c r="E10" i="4"/>
  <c r="D10" i="4"/>
  <c r="C10" i="4"/>
  <c r="N9" i="4"/>
  <c r="M9" i="4"/>
  <c r="L9" i="4"/>
  <c r="K9" i="4"/>
  <c r="J9" i="4"/>
  <c r="I9" i="4"/>
  <c r="H9" i="4"/>
  <c r="G9" i="4"/>
  <c r="F9" i="4"/>
  <c r="E9" i="4"/>
  <c r="D9" i="4"/>
  <c r="C9" i="4"/>
  <c r="N8" i="4"/>
  <c r="M8" i="4"/>
  <c r="L8" i="4"/>
  <c r="K8" i="4"/>
  <c r="J8" i="4"/>
  <c r="I8" i="4"/>
  <c r="H8" i="4"/>
  <c r="G8" i="4"/>
  <c r="F8" i="4"/>
  <c r="E8" i="4"/>
  <c r="D8" i="4"/>
  <c r="C8" i="4"/>
  <c r="N7" i="4"/>
  <c r="M7" i="4"/>
  <c r="L7" i="4"/>
  <c r="K7" i="4"/>
  <c r="J7" i="4"/>
  <c r="I7" i="4"/>
  <c r="H7" i="4"/>
  <c r="G7" i="4"/>
  <c r="F7" i="4"/>
  <c r="E7" i="4"/>
  <c r="D7" i="4"/>
  <c r="C7" i="4"/>
  <c r="D6" i="1"/>
  <c r="E6" i="1"/>
  <c r="F6" i="1"/>
  <c r="G6" i="1"/>
  <c r="H6" i="1"/>
  <c r="I6" i="1"/>
  <c r="J6" i="1"/>
  <c r="K6" i="1"/>
  <c r="L6" i="1"/>
  <c r="M6" i="1"/>
  <c r="N6" i="1"/>
  <c r="D7" i="1"/>
  <c r="E7" i="1"/>
  <c r="F7" i="1"/>
  <c r="G7" i="1"/>
  <c r="H7" i="1"/>
  <c r="I7" i="1"/>
  <c r="J7" i="1"/>
  <c r="K7" i="1"/>
  <c r="L7" i="1"/>
  <c r="M7" i="1"/>
  <c r="N7" i="1"/>
  <c r="C7" i="1"/>
  <c r="C6" i="1"/>
  <c r="N142" i="1"/>
  <c r="M142" i="1"/>
  <c r="L142" i="1"/>
  <c r="K142" i="1"/>
  <c r="J142" i="1"/>
  <c r="I142" i="1"/>
  <c r="H142" i="1"/>
  <c r="G142" i="1"/>
  <c r="F142" i="1"/>
  <c r="E142" i="1"/>
  <c r="D142" i="1"/>
  <c r="C142" i="1"/>
  <c r="O141" i="1"/>
  <c r="P141" i="1" s="1"/>
  <c r="O140" i="1"/>
  <c r="P140" i="1" s="1"/>
  <c r="O139" i="1"/>
  <c r="P139" i="1" s="1"/>
  <c r="N135" i="1"/>
  <c r="M135" i="1"/>
  <c r="L135" i="1"/>
  <c r="K135" i="1"/>
  <c r="J135" i="1"/>
  <c r="I135" i="1"/>
  <c r="H135" i="1"/>
  <c r="G135" i="1"/>
  <c r="F135" i="1"/>
  <c r="E135" i="1"/>
  <c r="D135" i="1"/>
  <c r="C135" i="1"/>
  <c r="O134" i="1"/>
  <c r="P134" i="1" s="1"/>
  <c r="O133" i="1"/>
  <c r="P133" i="1" s="1"/>
  <c r="O132" i="1"/>
  <c r="P132" i="1" s="1"/>
  <c r="N128" i="1"/>
  <c r="M128" i="1"/>
  <c r="L128" i="1"/>
  <c r="K128" i="1"/>
  <c r="J128" i="1"/>
  <c r="I128" i="1"/>
  <c r="H128" i="1"/>
  <c r="G128" i="1"/>
  <c r="F128" i="1"/>
  <c r="E128" i="1"/>
  <c r="D128" i="1"/>
  <c r="C128" i="1"/>
  <c r="O127" i="1"/>
  <c r="P127" i="1" s="1"/>
  <c r="O126" i="1"/>
  <c r="P126" i="1" s="1"/>
  <c r="O125" i="1"/>
  <c r="P125" i="1" s="1"/>
  <c r="N121" i="1"/>
  <c r="M121" i="1"/>
  <c r="L121" i="1"/>
  <c r="K121" i="1"/>
  <c r="J121" i="1"/>
  <c r="I121" i="1"/>
  <c r="H121" i="1"/>
  <c r="G121" i="1"/>
  <c r="F121" i="1"/>
  <c r="E121" i="1"/>
  <c r="D121" i="1"/>
  <c r="C121" i="1"/>
  <c r="O120" i="1"/>
  <c r="P120" i="1" s="1"/>
  <c r="O119" i="1"/>
  <c r="P119" i="1" s="1"/>
  <c r="O118" i="1"/>
  <c r="P118" i="1" s="1"/>
  <c r="N114" i="1"/>
  <c r="M114" i="1"/>
  <c r="L114" i="1"/>
  <c r="K114" i="1"/>
  <c r="J114" i="1"/>
  <c r="I114" i="1"/>
  <c r="H114" i="1"/>
  <c r="G114" i="1"/>
  <c r="F114" i="1"/>
  <c r="E114" i="1"/>
  <c r="D114" i="1"/>
  <c r="C114" i="1"/>
  <c r="O112" i="1"/>
  <c r="P112" i="1" s="1"/>
  <c r="O111" i="1"/>
  <c r="P111" i="1" s="1"/>
  <c r="N107" i="1"/>
  <c r="M107" i="1"/>
  <c r="L107" i="1"/>
  <c r="K107" i="1"/>
  <c r="J107" i="1"/>
  <c r="I107" i="1"/>
  <c r="H107" i="1"/>
  <c r="G107" i="1"/>
  <c r="F107" i="1"/>
  <c r="E107" i="1"/>
  <c r="D107" i="1"/>
  <c r="C107" i="1"/>
  <c r="O106" i="1"/>
  <c r="P106" i="1" s="1"/>
  <c r="O104" i="1"/>
  <c r="P104" i="1" s="1"/>
  <c r="O102" i="1"/>
  <c r="P102" i="1" s="1"/>
  <c r="N98" i="1"/>
  <c r="M98" i="1"/>
  <c r="L98" i="1"/>
  <c r="K98" i="1"/>
  <c r="J98" i="1"/>
  <c r="I98" i="1"/>
  <c r="H98" i="1"/>
  <c r="G98" i="1"/>
  <c r="F98" i="1"/>
  <c r="E98" i="1"/>
  <c r="D98" i="1"/>
  <c r="C98" i="1"/>
  <c r="O97" i="1"/>
  <c r="P97" i="1" s="1"/>
  <c r="O96" i="1"/>
  <c r="O95" i="1"/>
  <c r="P95" i="1" s="1"/>
  <c r="N91" i="1"/>
  <c r="M91" i="1"/>
  <c r="L91" i="1"/>
  <c r="K91" i="1"/>
  <c r="J91" i="1"/>
  <c r="I91" i="1"/>
  <c r="H91" i="1"/>
  <c r="G91" i="1"/>
  <c r="F91" i="1"/>
  <c r="E91" i="1"/>
  <c r="D91" i="1"/>
  <c r="C91" i="1"/>
  <c r="O90" i="1"/>
  <c r="P90" i="1" s="1"/>
  <c r="O86" i="1"/>
  <c r="P86" i="1" s="1"/>
  <c r="N81" i="1"/>
  <c r="M81" i="1"/>
  <c r="L81" i="1"/>
  <c r="K81" i="1"/>
  <c r="J81" i="1"/>
  <c r="I81" i="1"/>
  <c r="H81" i="1"/>
  <c r="G81" i="1"/>
  <c r="F81" i="1"/>
  <c r="E81" i="1"/>
  <c r="D81" i="1"/>
  <c r="C81" i="1"/>
  <c r="O79" i="1"/>
  <c r="P79" i="1" s="1"/>
  <c r="O78" i="1"/>
  <c r="P78" i="1" s="1"/>
  <c r="O77" i="1"/>
  <c r="N73" i="1"/>
  <c r="M73" i="1"/>
  <c r="L73" i="1"/>
  <c r="K73" i="1"/>
  <c r="J73" i="1"/>
  <c r="I73" i="1"/>
  <c r="H73" i="1"/>
  <c r="G73" i="1"/>
  <c r="F73" i="1"/>
  <c r="E73" i="1"/>
  <c r="D73" i="1"/>
  <c r="C73" i="1"/>
  <c r="O72" i="1"/>
  <c r="P72" i="1" s="1"/>
  <c r="O71" i="1"/>
  <c r="P71" i="1" s="1"/>
  <c r="O70" i="1"/>
  <c r="P70" i="1" s="1"/>
  <c r="N66" i="1"/>
  <c r="M66" i="1"/>
  <c r="L66" i="1"/>
  <c r="K66" i="1"/>
  <c r="J66" i="1"/>
  <c r="I66" i="1"/>
  <c r="H66" i="1"/>
  <c r="G66" i="1"/>
  <c r="F66" i="1"/>
  <c r="E66" i="1"/>
  <c r="D66" i="1"/>
  <c r="C66" i="1"/>
  <c r="O65" i="1"/>
  <c r="P65" i="1" s="1"/>
  <c r="O63" i="1"/>
  <c r="P63" i="1" s="1"/>
  <c r="O62" i="1"/>
  <c r="P62" i="1" s="1"/>
  <c r="O35" i="1"/>
  <c r="P35" i="1" s="1"/>
  <c r="O38" i="1"/>
  <c r="P38" i="1" s="1"/>
  <c r="J49" i="1"/>
  <c r="O44" i="1"/>
  <c r="P44" i="1" s="1"/>
  <c r="N58" i="1"/>
  <c r="M58" i="1"/>
  <c r="L58" i="1"/>
  <c r="K58" i="1"/>
  <c r="J58" i="1"/>
  <c r="I58" i="1"/>
  <c r="H58" i="1"/>
  <c r="G58" i="1"/>
  <c r="F58" i="1"/>
  <c r="E58" i="1"/>
  <c r="D58" i="1"/>
  <c r="C58" i="1"/>
  <c r="O57" i="1"/>
  <c r="P57" i="1" s="1"/>
  <c r="O56" i="1"/>
  <c r="P56" i="1" s="1"/>
  <c r="O55" i="1"/>
  <c r="P55" i="1" s="1"/>
  <c r="O54" i="1"/>
  <c r="P54" i="1" s="1"/>
  <c r="O53" i="1"/>
  <c r="N49" i="1"/>
  <c r="M49" i="1"/>
  <c r="L49" i="1"/>
  <c r="K49" i="1"/>
  <c r="I49" i="1"/>
  <c r="H49" i="1"/>
  <c r="G49" i="1"/>
  <c r="F49" i="1"/>
  <c r="E49" i="1"/>
  <c r="D49" i="1"/>
  <c r="C49" i="1"/>
  <c r="O48" i="1"/>
  <c r="P48" i="1" s="1"/>
  <c r="O46" i="1"/>
  <c r="P46" i="1" s="1"/>
  <c r="O45" i="1"/>
  <c r="P45" i="1" s="1"/>
  <c r="N39" i="1"/>
  <c r="L39" i="1"/>
  <c r="K39" i="1"/>
  <c r="J39" i="1"/>
  <c r="I39" i="1"/>
  <c r="H39" i="1"/>
  <c r="G39" i="1"/>
  <c r="F39" i="1"/>
  <c r="E39" i="1"/>
  <c r="D39" i="1"/>
  <c r="C39" i="1"/>
  <c r="O37" i="1"/>
  <c r="P37" i="1" s="1"/>
  <c r="O36" i="1"/>
  <c r="P36" i="1" s="1"/>
  <c r="O34" i="1"/>
  <c r="N30" i="1"/>
  <c r="M30" i="1"/>
  <c r="L30" i="1"/>
  <c r="K30" i="1"/>
  <c r="J30" i="1"/>
  <c r="I30" i="1"/>
  <c r="H30" i="1"/>
  <c r="G30" i="1"/>
  <c r="F30" i="1"/>
  <c r="E30" i="1"/>
  <c r="D30" i="1"/>
  <c r="O29" i="1"/>
  <c r="P29" i="1" s="1"/>
  <c r="O26" i="1"/>
  <c r="P26" i="1" s="1"/>
  <c r="O25" i="1"/>
  <c r="P25" i="1" s="1"/>
  <c r="O24" i="1"/>
  <c r="P24" i="1" s="1"/>
  <c r="O22" i="1"/>
  <c r="N18" i="1"/>
  <c r="L18" i="1"/>
  <c r="K18" i="1"/>
  <c r="J18" i="1"/>
  <c r="I18" i="1"/>
  <c r="H18" i="1"/>
  <c r="G18" i="1"/>
  <c r="F18" i="1"/>
  <c r="E18" i="1"/>
  <c r="D18" i="1"/>
  <c r="C18" i="1"/>
  <c r="M18" i="1"/>
  <c r="O13" i="1"/>
  <c r="P13" i="1" s="1"/>
  <c r="O14" i="1"/>
  <c r="P14" i="1" s="1"/>
  <c r="O15" i="1"/>
  <c r="P15" i="1" s="1"/>
  <c r="O16" i="1"/>
  <c r="P16" i="1" s="1"/>
  <c r="O17" i="1"/>
  <c r="P17" i="1" s="1"/>
  <c r="M39" i="1"/>
  <c r="O43" i="1"/>
  <c r="P43" i="1" s="1"/>
  <c r="O121" i="1" l="1"/>
  <c r="P121" i="1" s="1"/>
  <c r="O10" i="4"/>
  <c r="L8" i="1"/>
  <c r="L29" i="4" s="1"/>
  <c r="D8" i="1"/>
  <c r="D29" i="4" s="1"/>
  <c r="O16" i="4"/>
  <c r="O114" i="1"/>
  <c r="P114" i="1" s="1"/>
  <c r="O17" i="4"/>
  <c r="K8" i="1"/>
  <c r="K28" i="4" s="1"/>
  <c r="G8" i="1"/>
  <c r="G28" i="4" s="1"/>
  <c r="O66" i="1"/>
  <c r="P66" i="1" s="1"/>
  <c r="O13" i="4"/>
  <c r="O73" i="1"/>
  <c r="P73" i="1" s="1"/>
  <c r="O91" i="1"/>
  <c r="P91" i="1" s="1"/>
  <c r="O11" i="4"/>
  <c r="O135" i="1"/>
  <c r="P135" i="1" s="1"/>
  <c r="O142" i="1"/>
  <c r="P142" i="1" s="1"/>
  <c r="O7" i="4"/>
  <c r="P9" i="4"/>
  <c r="O98" i="1"/>
  <c r="P98" i="1" s="1"/>
  <c r="O128" i="1"/>
  <c r="P128" i="1" s="1"/>
  <c r="O9" i="4"/>
  <c r="O21" i="4"/>
  <c r="P11" i="4"/>
  <c r="P8" i="4"/>
  <c r="P12" i="4"/>
  <c r="O81" i="1"/>
  <c r="P81" i="1" s="1"/>
  <c r="O8" i="4"/>
  <c r="P96" i="1"/>
  <c r="P13" i="4" s="1"/>
  <c r="P10" i="4"/>
  <c r="O12" i="4"/>
  <c r="O107" i="1"/>
  <c r="P107" i="1" s="1"/>
  <c r="J8" i="1"/>
  <c r="J28" i="4" s="1"/>
  <c r="O14" i="4"/>
  <c r="O15" i="4"/>
  <c r="P77" i="1"/>
  <c r="P15" i="4" s="1"/>
  <c r="P16" i="4"/>
  <c r="P17" i="4"/>
  <c r="O58" i="1"/>
  <c r="P58" i="1" s="1"/>
  <c r="P53" i="1"/>
  <c r="P18" i="4" s="1"/>
  <c r="O18" i="4"/>
  <c r="O39" i="1"/>
  <c r="P39" i="1" s="1"/>
  <c r="F8" i="1"/>
  <c r="F28" i="4" s="1"/>
  <c r="P34" i="1"/>
  <c r="P20" i="4" s="1"/>
  <c r="O20" i="4"/>
  <c r="N8" i="1"/>
  <c r="N29" i="4" s="1"/>
  <c r="M8" i="1"/>
  <c r="M28" i="4" s="1"/>
  <c r="I8" i="1"/>
  <c r="I28" i="4" s="1"/>
  <c r="H8" i="1"/>
  <c r="H29" i="4" s="1"/>
  <c r="P22" i="1"/>
  <c r="P21" i="4" s="1"/>
  <c r="O30" i="1"/>
  <c r="P30" i="1" s="1"/>
  <c r="E8" i="1"/>
  <c r="E29" i="4" s="1"/>
  <c r="C9" i="1"/>
  <c r="D9" i="1" s="1"/>
  <c r="E9" i="1" s="1"/>
  <c r="F9" i="1" s="1"/>
  <c r="G9" i="1" s="1"/>
  <c r="H9" i="1" s="1"/>
  <c r="I9" i="1" s="1"/>
  <c r="J9" i="1" s="1"/>
  <c r="K9" i="1" s="1"/>
  <c r="L9" i="1" s="1"/>
  <c r="M9" i="1" s="1"/>
  <c r="N9" i="1" s="1"/>
  <c r="N10" i="1" s="1"/>
  <c r="C8" i="1"/>
  <c r="C28" i="4" s="1"/>
  <c r="C38" i="4"/>
  <c r="O18" i="1"/>
  <c r="P18" i="1" s="1"/>
  <c r="P7" i="4"/>
  <c r="P14" i="4"/>
  <c r="O6" i="1"/>
  <c r="P6" i="1" s="1"/>
  <c r="C39" i="4"/>
  <c r="B39" i="4"/>
  <c r="P19" i="4"/>
  <c r="O49" i="1"/>
  <c r="P49" i="1" s="1"/>
  <c r="O7" i="1"/>
  <c r="O19" i="4"/>
  <c r="D28" i="4" l="1"/>
  <c r="L28" i="4"/>
  <c r="J29" i="4"/>
  <c r="K29" i="4"/>
  <c r="G29" i="4"/>
  <c r="N28" i="4"/>
  <c r="E28" i="4"/>
  <c r="H28" i="4"/>
  <c r="D40" i="4"/>
  <c r="C40" i="4"/>
  <c r="E26" i="4"/>
  <c r="M29" i="4"/>
  <c r="F29" i="4"/>
  <c r="M26" i="4"/>
  <c r="D26" i="4"/>
  <c r="I29" i="4"/>
  <c r="C29" i="4"/>
  <c r="C26" i="4"/>
  <c r="N26" i="4"/>
  <c r="F26" i="4"/>
  <c r="L26" i="4"/>
  <c r="K26" i="4"/>
  <c r="G26" i="4"/>
  <c r="H26" i="4"/>
  <c r="I26" i="4"/>
  <c r="J26" i="4"/>
  <c r="P7" i="1"/>
  <c r="O8" i="1"/>
  <c r="O28" i="4" l="1"/>
  <c r="O26" i="4"/>
  <c r="O29" i="4"/>
  <c r="P8" i="1"/>
</calcChain>
</file>

<file path=xl/comments1.xml><?xml version="1.0" encoding="utf-8"?>
<comments xmlns="http://schemas.openxmlformats.org/spreadsheetml/2006/main">
  <authors>
    <author>Gabriela e Caio</author>
  </authors>
  <commentList>
    <comment ref="B29" authorId="0">
      <text>
        <r>
          <rPr>
            <sz val="9"/>
            <color indexed="81"/>
            <rFont val="Tahoma"/>
            <family val="2"/>
          </rPr>
          <t>% do valor do imóvel (Referência: Zap imóvel)
Pagando 30% imposto
Subtrai valor Condomínio</t>
        </r>
      </text>
    </comment>
  </commentList>
</comments>
</file>

<file path=xl/comments2.xml><?xml version="1.0" encoding="utf-8"?>
<comments xmlns="http://schemas.openxmlformats.org/spreadsheetml/2006/main">
  <authors>
    <author>iGo Travel And Coffee</author>
    <author>Gabriela e Caio</author>
  </authors>
  <commentList>
    <comment ref="C22" authorId="0">
      <text>
        <r>
          <rPr>
            <b/>
            <sz val="9"/>
            <color indexed="81"/>
            <rFont val="Segoe UI"/>
            <family val="2"/>
          </rPr>
          <t>4 semanas de Bond ("seguro")
+ Taxa de Aluguel para imobiliária
+ 4 semanas de aluguel</t>
        </r>
        <r>
          <rPr>
            <sz val="9"/>
            <color indexed="81"/>
            <rFont val="Segoe UI"/>
            <family val="2"/>
          </rPr>
          <t xml:space="preserve">
</t>
        </r>
      </text>
    </comment>
    <comment ref="C45" authorId="1">
      <text>
        <r>
          <rPr>
            <b/>
            <sz val="9"/>
            <color indexed="81"/>
            <rFont val="Tahoma"/>
            <family val="2"/>
          </rPr>
          <t xml:space="preserve">Estimativa por Filho: 
</t>
        </r>
        <r>
          <rPr>
            <sz val="9"/>
            <color indexed="81"/>
            <rFont val="Tahoma"/>
            <family val="2"/>
          </rPr>
          <t>NZ 8,00 por refeição
x2 refeições escolares
x20 dias úteis</t>
        </r>
      </text>
    </comment>
    <comment ref="C54" authorId="1">
      <text>
        <r>
          <rPr>
            <b/>
            <sz val="9"/>
            <color indexed="81"/>
            <rFont val="Tahoma"/>
            <family val="2"/>
          </rPr>
          <t>Valor do Litro da Gasolina x Litros do Tanque do Carro</t>
        </r>
        <r>
          <rPr>
            <sz val="9"/>
            <color indexed="81"/>
            <rFont val="Tahoma"/>
            <family val="2"/>
          </rPr>
          <t xml:space="preserve">
</t>
        </r>
      </text>
    </comment>
    <comment ref="B56" authorId="1">
      <text>
        <r>
          <rPr>
            <sz val="9"/>
            <color indexed="81"/>
            <rFont val="Tahoma"/>
            <family val="2"/>
          </rPr>
          <t xml:space="preserve">São o Imposto de Registro do Carro (pode pagar anual ou mensal) e a Inspeção do Carros usados para validação da licença (a cada 6 ou 12 meses)
</t>
        </r>
      </text>
    </comment>
  </commentList>
</comments>
</file>

<file path=xl/sharedStrings.xml><?xml version="1.0" encoding="utf-8"?>
<sst xmlns="http://schemas.openxmlformats.org/spreadsheetml/2006/main" count="350" uniqueCount="245">
  <si>
    <t>Internet</t>
  </si>
  <si>
    <t xml:space="preserve"> </t>
  </si>
  <si>
    <t>jan</t>
  </si>
  <si>
    <t>mar</t>
  </si>
  <si>
    <t>jun</t>
  </si>
  <si>
    <t>jul</t>
  </si>
  <si>
    <t>nov</t>
  </si>
  <si>
    <t>hobbies</t>
  </si>
  <si>
    <t>renda</t>
  </si>
  <si>
    <t>Salário e adicionais</t>
  </si>
  <si>
    <t>renda de juros</t>
  </si>
  <si>
    <t>dividendos</t>
  </si>
  <si>
    <t>presentes recebidos</t>
  </si>
  <si>
    <t>devoluções/reembolsos</t>
  </si>
  <si>
    <t>transferência da poupança</t>
  </si>
  <si>
    <t>outros</t>
  </si>
  <si>
    <t>despesas</t>
  </si>
  <si>
    <t>casa</t>
  </si>
  <si>
    <t>despesas diárias</t>
  </si>
  <si>
    <t>filhos</t>
  </si>
  <si>
    <t>transporte</t>
  </si>
  <si>
    <t>saúde</t>
  </si>
  <si>
    <t>seguro</t>
  </si>
  <si>
    <t>educação</t>
  </si>
  <si>
    <t>caridade</t>
  </si>
  <si>
    <t>poupança</t>
  </si>
  <si>
    <t>obrigações</t>
  </si>
  <si>
    <t>diversão</t>
  </si>
  <si>
    <t>animais de estimação</t>
  </si>
  <si>
    <t>assinaturas</t>
  </si>
  <si>
    <t>férias</t>
  </si>
  <si>
    <t>diversos</t>
  </si>
  <si>
    <t>hipoteca/aluguel</t>
  </si>
  <si>
    <t>luz</t>
  </si>
  <si>
    <t>gás</t>
  </si>
  <si>
    <t>água/esgoto</t>
  </si>
  <si>
    <t>telefone</t>
  </si>
  <si>
    <t>TV a cabo/satélite</t>
  </si>
  <si>
    <t>móveis/eletrodomésticos</t>
  </si>
  <si>
    <t>jardim</t>
  </si>
  <si>
    <t>suprimentos domésticos</t>
  </si>
  <si>
    <t>manutenção</t>
  </si>
  <si>
    <t>melhorias</t>
  </si>
  <si>
    <t>mantimentos</t>
  </si>
  <si>
    <t>suprimentos pessoais</t>
  </si>
  <si>
    <t>vestuário</t>
  </si>
  <si>
    <t>serviços de limpeza</t>
  </si>
  <si>
    <t>restaurantes</t>
  </si>
  <si>
    <t>lavanderia</t>
  </si>
  <si>
    <t>cabeleireiro/barbeiro</t>
  </si>
  <si>
    <t>médico</t>
  </si>
  <si>
    <t>mensalidade da escola</t>
  </si>
  <si>
    <t>merenda escolar</t>
  </si>
  <si>
    <t>material escolar</t>
  </si>
  <si>
    <t>babá</t>
  </si>
  <si>
    <t>brinquedos e jogos</t>
  </si>
  <si>
    <t>financiamento do automóvel</t>
  </si>
  <si>
    <t>combustível</t>
  </si>
  <si>
    <t>transporte público</t>
  </si>
  <si>
    <t>consertos</t>
  </si>
  <si>
    <t>licenciamento/IPVA</t>
  </si>
  <si>
    <t>médico/dentista</t>
  </si>
  <si>
    <t>remédios</t>
  </si>
  <si>
    <t>academia</t>
  </si>
  <si>
    <t>emergência</t>
  </si>
  <si>
    <t>automóvel</t>
  </si>
  <si>
    <t>casa/aluguel</t>
  </si>
  <si>
    <t>vida</t>
  </si>
  <si>
    <t>mensalidade</t>
  </si>
  <si>
    <t>livros</t>
  </si>
  <si>
    <t>aulas de música</t>
  </si>
  <si>
    <t>presentes</t>
  </si>
  <si>
    <t>doações</t>
  </si>
  <si>
    <t>dízimo e oferendas</t>
  </si>
  <si>
    <t>fundo de emergência</t>
  </si>
  <si>
    <t>transferência para poupança</t>
  </si>
  <si>
    <t>aposentadoria (fundos, INSS)</t>
  </si>
  <si>
    <t>investimentos</t>
  </si>
  <si>
    <t>faculdade</t>
  </si>
  <si>
    <t>empréstimo estudantil</t>
  </si>
  <si>
    <t>outro empréstimo</t>
  </si>
  <si>
    <t>cartão de crédito nº 2</t>
  </si>
  <si>
    <t>cartão de crédito nº 1</t>
  </si>
  <si>
    <t>cartão de crédito nº 3</t>
  </si>
  <si>
    <t>pensão alimentícia</t>
  </si>
  <si>
    <t>impostos federais</t>
  </si>
  <si>
    <t>IPTU</t>
  </si>
  <si>
    <t>impostos estaduais/municipais</t>
  </si>
  <si>
    <t>condomínio</t>
  </si>
  <si>
    <t>honorários advocatícios</t>
  </si>
  <si>
    <t>vídeos/dvds</t>
  </si>
  <si>
    <t>música</t>
  </si>
  <si>
    <t>jogos</t>
  </si>
  <si>
    <t>locação</t>
  </si>
  <si>
    <t>filmes/cinema</t>
  </si>
  <si>
    <t>shows/apresentações</t>
  </si>
  <si>
    <t>filme/fotos</t>
  </si>
  <si>
    <t>esportes</t>
  </si>
  <si>
    <t>recreação ao ar livre</t>
  </si>
  <si>
    <t>brinquedos/eletrônicos</t>
  </si>
  <si>
    <t>ração</t>
  </si>
  <si>
    <t>veterinário</t>
  </si>
  <si>
    <t>brinquedos/suprimentos</t>
  </si>
  <si>
    <t>jornal</t>
  </si>
  <si>
    <t>revistas</t>
  </si>
  <si>
    <t>taxas de adesão/contribuições</t>
  </si>
  <si>
    <t>academia/clube</t>
  </si>
  <si>
    <t>viagem</t>
  </si>
  <si>
    <t>hospedagem</t>
  </si>
  <si>
    <t>alimentação</t>
  </si>
  <si>
    <t>locação de automóvel</t>
  </si>
  <si>
    <t>entretenimento</t>
  </si>
  <si>
    <t>tarifas bancárias</t>
  </si>
  <si>
    <t>correios</t>
  </si>
  <si>
    <t>fev</t>
  </si>
  <si>
    <t>abr</t>
  </si>
  <si>
    <t>mai</t>
  </si>
  <si>
    <t>ago</t>
  </si>
  <si>
    <t>set</t>
  </si>
  <si>
    <t>out</t>
  </si>
  <si>
    <t>dez</t>
  </si>
  <si>
    <t>ano</t>
  </si>
  <si>
    <t>média</t>
  </si>
  <si>
    <t>período</t>
  </si>
  <si>
    <t>Saldo inicial</t>
  </si>
  <si>
    <t>Renda total</t>
  </si>
  <si>
    <t>Despesa total</t>
  </si>
  <si>
    <t>Renda líquida</t>
  </si>
  <si>
    <t>TOTAL DO FLUXO DE CAIXA</t>
  </si>
  <si>
    <t>RENDA TOTAL</t>
  </si>
  <si>
    <t>*** Esta planilha deve permanecer oculta ***</t>
  </si>
  <si>
    <t>Fluxo de Caixa Acumulado</t>
  </si>
  <si>
    <t>Fluxo de Caixa Anual Positivo</t>
  </si>
  <si>
    <t>Fluxo de Caixa Anual Negativo</t>
  </si>
  <si>
    <t>FAMÍLIA NUNES 2016</t>
  </si>
  <si>
    <t>INVENTÁRIO BRASIL</t>
  </si>
  <si>
    <t>R$</t>
  </si>
  <si>
    <t>Câmbio</t>
  </si>
  <si>
    <t>NZ $</t>
  </si>
  <si>
    <t>PATRIMÔNIO TOTAL</t>
  </si>
  <si>
    <t>Patrimônio</t>
  </si>
  <si>
    <t>PATRIMÔNIO BRASIL</t>
  </si>
  <si>
    <t>PATRIMÔNIO NZ</t>
  </si>
  <si>
    <t>GASTOS NO BRASIL</t>
  </si>
  <si>
    <t>GASTOS BR</t>
  </si>
  <si>
    <t>GASTOS NZ</t>
  </si>
  <si>
    <t>Gastos com documentos</t>
  </si>
  <si>
    <t>INVESTIMENTO</t>
  </si>
  <si>
    <t>curso técnico NZ Caio</t>
  </si>
  <si>
    <t>Compra mensal</t>
  </si>
  <si>
    <t>Produtos de Limpesa</t>
  </si>
  <si>
    <t>Ariel</t>
  </si>
  <si>
    <t>Amaciante</t>
  </si>
  <si>
    <t>Alvejante</t>
  </si>
  <si>
    <t>Alvejante sem cloro</t>
  </si>
  <si>
    <t>Passe bem</t>
  </si>
  <si>
    <t>Desinfetante</t>
  </si>
  <si>
    <t>Álcool</t>
  </si>
  <si>
    <t>Detergente para louça</t>
  </si>
  <si>
    <t>Lava-louças</t>
  </si>
  <si>
    <t>Secante</t>
  </si>
  <si>
    <t>Básico</t>
  </si>
  <si>
    <t>Arroz</t>
  </si>
  <si>
    <t>Feijão</t>
  </si>
  <si>
    <t>Lentilha</t>
  </si>
  <si>
    <t xml:space="preserve">Macarrão </t>
  </si>
  <si>
    <t>Óleo</t>
  </si>
  <si>
    <t>Azeite</t>
  </si>
  <si>
    <t>Vinagre</t>
  </si>
  <si>
    <t>Sal</t>
  </si>
  <si>
    <t>Açúcar</t>
  </si>
  <si>
    <t>Adoçante</t>
  </si>
  <si>
    <t>Carnes e Ovos</t>
  </si>
  <si>
    <t>Carne</t>
  </si>
  <si>
    <t>Frango</t>
  </si>
  <si>
    <t>Ovos</t>
  </si>
  <si>
    <t>Leite</t>
  </si>
  <si>
    <t>Toddy</t>
  </si>
  <si>
    <t>Verduras e frutas</t>
  </si>
  <si>
    <t>Salada</t>
  </si>
  <si>
    <t>Tomate</t>
  </si>
  <si>
    <t>Cebola</t>
  </si>
  <si>
    <t>Cenoura</t>
  </si>
  <si>
    <t>Alho</t>
  </si>
  <si>
    <t>Salsinha</t>
  </si>
  <si>
    <t>Cebolinha</t>
  </si>
  <si>
    <t>Berinjela</t>
  </si>
  <si>
    <t>Abobrinha</t>
  </si>
  <si>
    <t>Filé de carne</t>
  </si>
  <si>
    <t>Filé de frango</t>
  </si>
  <si>
    <t>Peixe</t>
  </si>
  <si>
    <t>Salmão</t>
  </si>
  <si>
    <t>curso técnico NZ Gabi</t>
  </si>
  <si>
    <t>Apartamento</t>
  </si>
  <si>
    <t>Carro</t>
  </si>
  <si>
    <t>Moto</t>
  </si>
  <si>
    <t>Aplicações</t>
  </si>
  <si>
    <t xml:space="preserve">FGTS </t>
  </si>
  <si>
    <t>Previdência Privada</t>
  </si>
  <si>
    <t>Poupança</t>
  </si>
  <si>
    <t>Bicicleta + Prancha de Surf</t>
  </si>
  <si>
    <t>Doação da Avó</t>
  </si>
  <si>
    <t>Outras receitas</t>
  </si>
  <si>
    <t>Renda Mensal no Brasil</t>
  </si>
  <si>
    <t>Aluguel do Apartamento</t>
  </si>
  <si>
    <t>Valor do condomínio do Apartamento no Brasil =&gt;</t>
  </si>
  <si>
    <t>Participação no Lucro X</t>
  </si>
  <si>
    <t xml:space="preserve">Rendimentos mensais </t>
  </si>
  <si>
    <t>Curso Inglês 6 meses antes</t>
  </si>
  <si>
    <t>Passagens x n pessoas</t>
  </si>
  <si>
    <t>Taxa Embaixada - VISTOx n pessoas</t>
  </si>
  <si>
    <t>Taxa Administrativa xn pessoas</t>
  </si>
  <si>
    <t xml:space="preserve">Número de pessoas: </t>
  </si>
  <si>
    <t>GASTOS ANTES DE VIAJAR (PREPARAÇÃO)</t>
  </si>
  <si>
    <t>Outros gastos</t>
  </si>
  <si>
    <t>Você pode manter seu patrimônio ou vender e levar os recursos em dinheiro para a Nova Zelândia</t>
  </si>
  <si>
    <t>Você pode manter seu patrimônio no Brasil outransferir mensalmente os recursos para a Nova Zelândia</t>
  </si>
  <si>
    <t>renda de juros do Brasil</t>
  </si>
  <si>
    <t>outras receitas</t>
  </si>
  <si>
    <t>jardim / OUTROS</t>
  </si>
  <si>
    <t>energia elétrica</t>
  </si>
  <si>
    <t>material escolar + donations</t>
  </si>
  <si>
    <t>compra automóvel</t>
  </si>
  <si>
    <t>REGO e WOF</t>
  </si>
  <si>
    <t>Manutenção e outros</t>
  </si>
  <si>
    <t>Exames de Imigração</t>
  </si>
  <si>
    <t>Plano de Saúde</t>
  </si>
  <si>
    <t>Seguro de vida</t>
  </si>
  <si>
    <t xml:space="preserve">curso de línguas </t>
  </si>
  <si>
    <t>Móveis e Eletrodoméstidcos</t>
  </si>
  <si>
    <t>Passeios / atividades escolares</t>
  </si>
  <si>
    <t>curso técnico</t>
  </si>
  <si>
    <t>passeios</t>
  </si>
  <si>
    <t>viagens</t>
  </si>
  <si>
    <t>despesas gerais</t>
  </si>
  <si>
    <t>moradia</t>
  </si>
  <si>
    <r>
      <rPr>
        <b/>
        <sz val="7"/>
        <color theme="1"/>
        <rFont val="Century Gothic"/>
        <family val="2"/>
        <scheme val="minor"/>
      </rPr>
      <t>ATENÇÃO</t>
    </r>
    <r>
      <rPr>
        <sz val="7"/>
        <color theme="1"/>
        <rFont val="Century Gothic"/>
        <family val="2"/>
        <scheme val="minor"/>
      </rPr>
      <t>: NÃO PREENCHA ESTA PARTE, ESTÁ COM FÓRMULAS</t>
    </r>
  </si>
  <si>
    <t>lazer e esportes</t>
  </si>
  <si>
    <t>aposentadoria (kiwi saver)</t>
  </si>
  <si>
    <t>savings (aplicações)</t>
  </si>
  <si>
    <t>obrigações / impostos</t>
  </si>
  <si>
    <t xml:space="preserve">impostos </t>
  </si>
  <si>
    <t>taxas</t>
  </si>
  <si>
    <r>
      <rPr>
        <b/>
        <sz val="7"/>
        <color theme="1"/>
        <rFont val="Century Gothic"/>
        <family val="2"/>
        <scheme val="minor"/>
      </rPr>
      <t>ATENÇÃO:</t>
    </r>
    <r>
      <rPr>
        <sz val="7"/>
        <color theme="1"/>
        <rFont val="Century Gothic"/>
        <family val="2"/>
        <scheme val="minor"/>
      </rPr>
      <t xml:space="preserve"> PREENCHA SOMENTE OS CAMPOS EM AMARELO (ABAIXO) E SIGA AS INSTRUÇÕES NAS CÉLULAS</t>
    </r>
  </si>
  <si>
    <r>
      <rPr>
        <b/>
        <sz val="7"/>
        <color theme="1"/>
        <rFont val="Century Gothic"/>
        <family val="2"/>
        <scheme val="minor"/>
      </rPr>
      <t>ATENÇÃO:</t>
    </r>
    <r>
      <rPr>
        <sz val="7"/>
        <color theme="1"/>
        <rFont val="Century Gothic"/>
        <family val="2"/>
        <scheme val="minor"/>
      </rPr>
      <t xml:space="preserve"> DAQUI EM DIANTE VOCÊ PRECISA PREENCHER COM SUAS DESPESAS PARTICULARES (TODAS AS CÉLULAS)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</si>
</sst>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quot;R$&quot;\ #,##0"/>
    <numFmt numFmtId="165" formatCode="_-[$R$-416]\ * #,##0.00_-;\-[$R$-416]\ * #,##0.00_-;_-[$R$-416]\ * &quot;-&quot;??_-;_-@_-"/>
    <numFmt numFmtId="166" formatCode="_-[$$-1409]* #,##0.00_-;\-[$$-1409]* #,##0.00_-;_-[$$-1409]* &quot;-&quot;??_-;_-@_-"/>
    <numFmt numFmtId="167" formatCode="_-* #,##0_-;\-* #,##0_-;_-* &quot;-&quot;??_-;_-@_-"/>
  </numFmts>
  <fonts count="29">
    <font>
      <sz val="9"/>
      <color theme="1"/>
      <name val="Century Gothic"/>
      <family val="2"/>
      <scheme val="minor"/>
    </font>
    <font>
      <b/>
      <sz val="12"/>
      <color theme="5"/>
      <name val="Euphemia"/>
      <family val="2"/>
      <scheme val="major"/>
    </font>
    <font>
      <b/>
      <sz val="11"/>
      <color theme="0"/>
      <name val="Euphemia"/>
      <family val="2"/>
      <scheme val="major"/>
    </font>
    <font>
      <b/>
      <sz val="15"/>
      <color theme="4" tint="-0.249977111117893"/>
      <name val="Euphemia"/>
      <family val="2"/>
      <scheme val="major"/>
    </font>
    <font>
      <b/>
      <sz val="32"/>
      <color theme="4" tint="-0.249977111117893"/>
      <name val="Century Gothic"/>
      <family val="2"/>
      <scheme val="minor"/>
    </font>
    <font>
      <b/>
      <sz val="9"/>
      <color theme="0"/>
      <name val="Euphemia"/>
      <family val="2"/>
      <scheme val="major"/>
    </font>
    <font>
      <b/>
      <sz val="10"/>
      <color theme="0"/>
      <name val="Euphemia"/>
      <family val="2"/>
      <scheme val="major"/>
    </font>
    <font>
      <sz val="9"/>
      <color theme="1"/>
      <name val="Century Gothic"/>
      <family val="2"/>
      <scheme val="minor"/>
    </font>
    <font>
      <b/>
      <sz val="9"/>
      <color theme="0"/>
      <name val="Century Gothic"/>
      <family val="2"/>
      <scheme val="minor"/>
    </font>
    <font>
      <sz val="9"/>
      <color theme="0" tint="-0.499984740745262"/>
      <name val="Century Gothic"/>
      <family val="2"/>
      <scheme val="minor"/>
    </font>
    <font>
      <b/>
      <sz val="18"/>
      <color theme="1"/>
      <name val="Century Gothic"/>
      <family val="2"/>
      <scheme val="minor"/>
    </font>
    <font>
      <sz val="8"/>
      <color theme="1"/>
      <name val="Century Gothic"/>
      <family val="2"/>
      <scheme val="minor"/>
    </font>
    <font>
      <sz val="8"/>
      <color theme="0"/>
      <name val="Century Gothic"/>
      <family val="2"/>
      <scheme val="minor"/>
    </font>
    <font>
      <sz val="10"/>
      <color theme="1"/>
      <name val="Century Gothic"/>
      <family val="2"/>
      <scheme val="minor"/>
    </font>
    <font>
      <sz val="10"/>
      <color theme="0"/>
      <name val="Century Gothic"/>
      <family val="2"/>
      <scheme val="minor"/>
    </font>
    <font>
      <b/>
      <sz val="10"/>
      <color theme="0"/>
      <name val="Century Gothic"/>
      <family val="2"/>
      <scheme val="minor"/>
    </font>
    <font>
      <sz val="9"/>
      <color indexed="81"/>
      <name val="Segoe UI"/>
      <family val="2"/>
    </font>
    <font>
      <b/>
      <sz val="9"/>
      <color indexed="81"/>
      <name val="Segoe UI"/>
      <family val="2"/>
    </font>
    <font>
      <sz val="9"/>
      <color indexed="81"/>
      <name val="Tahoma"/>
      <family val="2"/>
    </font>
    <font>
      <sz val="9"/>
      <color theme="0"/>
      <name val="Century Gothic"/>
      <family val="2"/>
      <scheme val="minor"/>
    </font>
    <font>
      <sz val="9"/>
      <color rgb="FFFF0000"/>
      <name val="Century Gothic"/>
      <family val="2"/>
      <scheme val="minor"/>
    </font>
    <font>
      <b/>
      <sz val="9"/>
      <color rgb="FF0070C0"/>
      <name val="Century Gothic"/>
      <family val="2"/>
      <scheme val="minor"/>
    </font>
    <font>
      <b/>
      <sz val="9"/>
      <color theme="1"/>
      <name val="Century Gothic"/>
      <family val="2"/>
      <scheme val="minor"/>
    </font>
    <font>
      <b/>
      <sz val="12"/>
      <color theme="1"/>
      <name val="Century Gothic"/>
      <family val="2"/>
      <scheme val="minor"/>
    </font>
    <font>
      <b/>
      <sz val="9"/>
      <color rgb="FFFFFFFF"/>
      <name val="Century Gothic"/>
      <family val="2"/>
      <scheme val="minor"/>
    </font>
    <font>
      <sz val="7"/>
      <color theme="1"/>
      <name val="Century Gothic"/>
      <family val="2"/>
      <scheme val="minor"/>
    </font>
    <font>
      <b/>
      <sz val="9"/>
      <color rgb="FF002060"/>
      <name val="Century Gothic"/>
      <family val="2"/>
      <scheme val="minor"/>
    </font>
    <font>
      <b/>
      <sz val="9"/>
      <color indexed="81"/>
      <name val="Tahoma"/>
      <family val="2"/>
    </font>
    <font>
      <b/>
      <sz val="7"/>
      <color theme="1"/>
      <name val="Century Gothic"/>
      <family val="2"/>
      <scheme val="minor"/>
    </font>
  </fonts>
  <fills count="14">
    <fill>
      <patternFill patternType="none"/>
    </fill>
    <fill>
      <patternFill patternType="gray125"/>
    </fill>
    <fill>
      <patternFill patternType="solid">
        <fgColor theme="3"/>
        <bgColor auto="1"/>
      </patternFill>
    </fill>
    <fill>
      <patternFill patternType="solid">
        <fgColor theme="5"/>
        <bgColor indexed="64"/>
      </patternFill>
    </fill>
    <fill>
      <patternFill patternType="solid">
        <fgColor theme="0"/>
        <bgColor auto="1"/>
      </patternFill>
    </fill>
    <fill>
      <patternFill patternType="lightGrid">
        <fgColor theme="0"/>
        <bgColor theme="0"/>
      </patternFill>
    </fill>
    <fill>
      <patternFill patternType="solid">
        <fgColor theme="2" tint="-0.249977111117893"/>
        <bgColor indexed="64"/>
      </patternFill>
    </fill>
    <fill>
      <patternFill patternType="solid">
        <fgColor theme="2" tint="-0.249977111117893"/>
        <bgColor auto="1"/>
      </patternFill>
    </fill>
    <fill>
      <patternFill patternType="solid">
        <fgColor theme="2" tint="-0.249977111117893"/>
        <bgColor theme="2"/>
      </patternFill>
    </fill>
    <fill>
      <patternFill patternType="solid">
        <fgColor theme="5"/>
        <bgColor auto="1"/>
      </patternFill>
    </fill>
    <fill>
      <patternFill patternType="solid">
        <fgColor rgb="FFFF0000"/>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8" tint="0.39997558519241921"/>
        <bgColor indexed="64"/>
      </patternFill>
    </fill>
  </fills>
  <borders count="4">
    <border>
      <left/>
      <right/>
      <top/>
      <bottom/>
      <diagonal/>
    </border>
    <border>
      <left/>
      <right/>
      <top style="thick">
        <color theme="0"/>
      </top>
      <bottom/>
      <diagonal/>
    </border>
    <border>
      <left/>
      <right/>
      <top style="thin">
        <color theme="4" tint="0.59996337778862885"/>
      </top>
      <bottom style="thin">
        <color theme="4" tint="0.59996337778862885"/>
      </bottom>
      <diagonal/>
    </border>
    <border>
      <left/>
      <right/>
      <top style="thin">
        <color theme="4" tint="0.59996337778862885"/>
      </top>
      <bottom/>
      <diagonal/>
    </border>
  </borders>
  <cellStyleXfs count="6">
    <xf numFmtId="0" fontId="0" fillId="0" borderId="0">
      <alignment vertical="center"/>
    </xf>
    <xf numFmtId="0" fontId="1" fillId="5" borderId="1">
      <alignment horizontal="right" vertical="center" indent="1"/>
    </xf>
    <xf numFmtId="0" fontId="3" fillId="0" borderId="0">
      <alignment vertical="center"/>
    </xf>
    <xf numFmtId="0" fontId="4" fillId="0" borderId="0">
      <alignment horizontal="right"/>
    </xf>
    <xf numFmtId="43" fontId="7" fillId="0" borderId="0" applyFont="0" applyFill="0" applyBorder="0" applyAlignment="0" applyProtection="0"/>
    <xf numFmtId="44" fontId="7" fillId="0" borderId="0" applyFont="0" applyFill="0" applyBorder="0" applyAlignment="0" applyProtection="0"/>
  </cellStyleXfs>
  <cellXfs count="84">
    <xf numFmtId="0" fontId="0" fillId="0" borderId="0" xfId="0">
      <alignment vertical="center"/>
    </xf>
    <xf numFmtId="3" fontId="0" fillId="0" borderId="0" xfId="0" applyNumberFormat="1">
      <alignment vertical="center"/>
    </xf>
    <xf numFmtId="0" fontId="0" fillId="0" borderId="0" xfId="0">
      <alignment vertical="center"/>
    </xf>
    <xf numFmtId="3" fontId="0" fillId="0" borderId="0" xfId="0" applyNumberFormat="1">
      <alignment vertical="center"/>
    </xf>
    <xf numFmtId="0" fontId="0" fillId="2" borderId="0" xfId="0" applyFill="1">
      <alignment vertical="center"/>
    </xf>
    <xf numFmtId="0" fontId="5" fillId="2" borderId="0" xfId="0" applyFont="1" applyFill="1">
      <alignment vertical="center"/>
    </xf>
    <xf numFmtId="0" fontId="5" fillId="3" borderId="0" xfId="0" applyFont="1" applyFill="1" applyAlignment="1">
      <alignment horizontal="right" vertical="center" indent="1"/>
    </xf>
    <xf numFmtId="0" fontId="5" fillId="2" borderId="0" xfId="0" applyFont="1" applyFill="1" applyAlignment="1">
      <alignment horizontal="right" vertical="center" indent="1"/>
    </xf>
    <xf numFmtId="0" fontId="0" fillId="0" borderId="0" xfId="0" applyAlignment="1">
      <alignment horizontal="right" vertical="center" indent="1"/>
    </xf>
    <xf numFmtId="1" fontId="0" fillId="0" borderId="0" xfId="0" applyNumberFormat="1">
      <alignment vertical="center"/>
    </xf>
    <xf numFmtId="1" fontId="0" fillId="0" borderId="1" xfId="0" applyNumberFormat="1" applyBorder="1">
      <alignment vertical="center"/>
    </xf>
    <xf numFmtId="1" fontId="0" fillId="0" borderId="0" xfId="0" applyNumberFormat="1" applyAlignment="1">
      <alignment horizontal="right" vertical="center" indent="1"/>
    </xf>
    <xf numFmtId="1" fontId="0" fillId="0" borderId="1" xfId="0" applyNumberFormat="1" applyBorder="1" applyAlignment="1">
      <alignment horizontal="right" vertical="center" indent="1"/>
    </xf>
    <xf numFmtId="0" fontId="1" fillId="5" borderId="1" xfId="1" applyAlignment="1">
      <alignment horizontal="right" vertical="center" indent="2"/>
    </xf>
    <xf numFmtId="0" fontId="0" fillId="0" borderId="0" xfId="0" applyAlignment="1">
      <alignment horizontal="left" vertical="center" indent="1"/>
    </xf>
    <xf numFmtId="0" fontId="0" fillId="0" borderId="0" xfId="0" applyAlignment="1">
      <alignment horizontal="left" vertical="center" indent="3"/>
    </xf>
    <xf numFmtId="0" fontId="6" fillId="2" borderId="0" xfId="0" applyFont="1" applyFill="1">
      <alignment vertical="center"/>
    </xf>
    <xf numFmtId="0" fontId="2" fillId="2" borderId="0" xfId="0" applyFont="1" applyFill="1">
      <alignment vertical="center"/>
    </xf>
    <xf numFmtId="0" fontId="0" fillId="0" borderId="0" xfId="0" applyFont="1" applyFill="1" applyBorder="1" applyAlignment="1">
      <alignment horizontal="right" vertical="center" indent="1"/>
    </xf>
    <xf numFmtId="1" fontId="0" fillId="0" borderId="0" xfId="0" applyNumberFormat="1" applyFont="1" applyFill="1" applyBorder="1" applyAlignment="1">
      <alignment horizontal="right" vertical="center" indent="1"/>
    </xf>
    <xf numFmtId="0" fontId="0" fillId="7" borderId="0" xfId="0" applyFill="1">
      <alignment vertical="center"/>
    </xf>
    <xf numFmtId="0" fontId="0" fillId="8" borderId="0" xfId="0" applyFill="1">
      <alignment vertical="center"/>
    </xf>
    <xf numFmtId="1" fontId="0" fillId="6" borderId="0" xfId="0" applyNumberFormat="1" applyFont="1" applyFill="1" applyBorder="1" applyAlignment="1">
      <alignment horizontal="right" vertical="center" indent="1"/>
    </xf>
    <xf numFmtId="1" fontId="0" fillId="8" borderId="0" xfId="0" applyNumberFormat="1" applyFill="1">
      <alignment vertical="center"/>
    </xf>
    <xf numFmtId="1" fontId="0" fillId="8" borderId="1" xfId="0" applyNumberFormat="1" applyFill="1" applyBorder="1">
      <alignment vertical="center"/>
    </xf>
    <xf numFmtId="1" fontId="0" fillId="8" borderId="0" xfId="0" applyNumberFormat="1" applyFill="1" applyAlignment="1">
      <alignment horizontal="right" vertical="center" indent="1"/>
    </xf>
    <xf numFmtId="1" fontId="0" fillId="8" borderId="1" xfId="0" applyNumberFormat="1" applyFill="1" applyBorder="1" applyAlignment="1">
      <alignment horizontal="right" vertical="center" indent="1"/>
    </xf>
    <xf numFmtId="0" fontId="0" fillId="0" borderId="0" xfId="0" applyFont="1" applyAlignment="1">
      <alignment horizontal="right" vertical="center" indent="1"/>
    </xf>
    <xf numFmtId="0" fontId="0" fillId="0" borderId="0" xfId="0" applyFill="1" applyAlignment="1">
      <alignment vertical="center" wrapText="1"/>
    </xf>
    <xf numFmtId="164"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9" fillId="0" borderId="0" xfId="0" applyFont="1" applyAlignment="1">
      <alignment horizontal="right" vertical="center"/>
    </xf>
    <xf numFmtId="0" fontId="9" fillId="0" borderId="0" xfId="0" applyFont="1">
      <alignment vertical="center"/>
    </xf>
    <xf numFmtId="14" fontId="9" fillId="0" borderId="0" xfId="0" applyNumberFormat="1" applyFont="1">
      <alignment vertical="center"/>
    </xf>
    <xf numFmtId="0" fontId="8" fillId="10" borderId="0" xfId="0" applyFont="1" applyFill="1">
      <alignment vertical="center"/>
    </xf>
    <xf numFmtId="0" fontId="11" fillId="0" borderId="0" xfId="0" applyFont="1" applyAlignment="1">
      <alignment horizontal="center" vertical="center"/>
    </xf>
    <xf numFmtId="0" fontId="11" fillId="0" borderId="0" xfId="0" applyFont="1" applyAlignment="1">
      <alignment horizontal="left" vertical="center" indent="1"/>
    </xf>
    <xf numFmtId="0" fontId="11" fillId="0" borderId="0" xfId="0" applyNumberFormat="1" applyFont="1" applyAlignment="1">
      <alignment horizontal="left" vertical="center" indent="1"/>
    </xf>
    <xf numFmtId="0" fontId="12" fillId="10" borderId="0" xfId="0" applyFont="1" applyFill="1">
      <alignment vertical="center"/>
    </xf>
    <xf numFmtId="0" fontId="13" fillId="0" borderId="0" xfId="0" applyFont="1" applyAlignment="1">
      <alignment horizontal="center" vertical="center"/>
    </xf>
    <xf numFmtId="165" fontId="13" fillId="0" borderId="0" xfId="4" applyNumberFormat="1" applyFont="1" applyAlignment="1">
      <alignment horizontal="left" vertical="center" indent="1"/>
    </xf>
    <xf numFmtId="0" fontId="13" fillId="0" borderId="0" xfId="0" applyFont="1" applyAlignment="1">
      <alignment horizontal="left" vertical="center" indent="1"/>
    </xf>
    <xf numFmtId="165" fontId="14" fillId="10" borderId="0" xfId="0" applyNumberFormat="1" applyFont="1" applyFill="1">
      <alignment vertical="center"/>
    </xf>
    <xf numFmtId="0" fontId="15" fillId="9" borderId="0" xfId="0" applyFont="1" applyFill="1" applyBorder="1" applyAlignment="1">
      <alignment horizontal="center" vertical="center"/>
    </xf>
    <xf numFmtId="166" fontId="13" fillId="0" borderId="0" xfId="0" applyNumberFormat="1" applyFont="1" applyAlignment="1">
      <alignment horizontal="left" vertical="center" indent="1"/>
    </xf>
    <xf numFmtId="166" fontId="13" fillId="4" borderId="3" xfId="0" applyNumberFormat="1" applyFont="1" applyFill="1" applyBorder="1" applyAlignment="1">
      <alignment horizontal="left" vertical="center" indent="1"/>
    </xf>
    <xf numFmtId="166" fontId="14" fillId="10" borderId="0" xfId="0" applyNumberFormat="1" applyFont="1" applyFill="1">
      <alignment vertical="center"/>
    </xf>
    <xf numFmtId="166" fontId="13" fillId="4" borderId="2" xfId="0" applyNumberFormat="1" applyFont="1" applyFill="1" applyBorder="1" applyAlignment="1">
      <alignment horizontal="left" vertical="center" indent="1"/>
    </xf>
    <xf numFmtId="0" fontId="13" fillId="0" borderId="0" xfId="0" applyFont="1">
      <alignment vertical="center"/>
    </xf>
    <xf numFmtId="167" fontId="0" fillId="0" borderId="0" xfId="4" applyNumberFormat="1" applyFont="1" applyFill="1" applyBorder="1" applyAlignment="1">
      <alignment horizontal="right" vertical="center" indent="1"/>
    </xf>
    <xf numFmtId="167" fontId="0" fillId="6" borderId="0" xfId="4" applyNumberFormat="1" applyFont="1" applyFill="1" applyBorder="1" applyAlignment="1">
      <alignment horizontal="right" vertical="center" indent="1"/>
    </xf>
    <xf numFmtId="165" fontId="19" fillId="10" borderId="0" xfId="0" applyNumberFormat="1" applyFont="1" applyFill="1">
      <alignment vertical="center"/>
    </xf>
    <xf numFmtId="166" fontId="19" fillId="10" borderId="0" xfId="0" applyNumberFormat="1" applyFont="1" applyFill="1">
      <alignment vertical="center"/>
    </xf>
    <xf numFmtId="167" fontId="20" fillId="0" borderId="0" xfId="4" applyNumberFormat="1" applyFont="1" applyFill="1" applyBorder="1" applyAlignment="1">
      <alignment horizontal="right" vertical="center" indent="1"/>
    </xf>
    <xf numFmtId="167" fontId="21" fillId="4" borderId="0" xfId="4" applyNumberFormat="1" applyFont="1" applyFill="1" applyAlignment="1">
      <alignment horizontal="right" vertical="center" indent="1"/>
    </xf>
    <xf numFmtId="167" fontId="21" fillId="0" borderId="0" xfId="4" applyNumberFormat="1" applyFont="1" applyFill="1" applyBorder="1" applyAlignment="1">
      <alignment horizontal="right" vertical="center" indent="1"/>
    </xf>
    <xf numFmtId="167" fontId="0" fillId="0" borderId="0" xfId="4" applyNumberFormat="1" applyFont="1" applyAlignment="1">
      <alignment vertical="center"/>
    </xf>
    <xf numFmtId="167" fontId="0" fillId="8" borderId="0" xfId="4" applyNumberFormat="1" applyFont="1" applyFill="1" applyAlignment="1">
      <alignment vertical="center"/>
    </xf>
    <xf numFmtId="0" fontId="22" fillId="0" borderId="0" xfId="0" applyFont="1">
      <alignment vertical="center"/>
    </xf>
    <xf numFmtId="0" fontId="24" fillId="11" borderId="0" xfId="0" applyFont="1" applyFill="1">
      <alignment vertical="center"/>
    </xf>
    <xf numFmtId="0" fontId="0" fillId="11" borderId="0" xfId="0" applyFill="1">
      <alignment vertical="center"/>
    </xf>
    <xf numFmtId="1" fontId="22" fillId="0" borderId="0" xfId="0" applyNumberFormat="1" applyFont="1" applyFill="1" applyBorder="1" applyAlignment="1">
      <alignment horizontal="right" vertical="center" indent="1"/>
    </xf>
    <xf numFmtId="1" fontId="22" fillId="6" borderId="0" xfId="0" applyNumberFormat="1" applyFont="1" applyFill="1" applyBorder="1" applyAlignment="1">
      <alignment horizontal="right" vertical="center" indent="1"/>
    </xf>
    <xf numFmtId="0" fontId="22" fillId="0" borderId="0" xfId="0" applyFont="1" applyFill="1" applyBorder="1" applyAlignment="1">
      <alignment horizontal="right" vertical="center" indent="1"/>
    </xf>
    <xf numFmtId="0" fontId="26" fillId="0" borderId="0" xfId="0" applyFont="1" applyFill="1" applyBorder="1" applyAlignment="1">
      <alignment horizontal="right" vertical="center" indent="1"/>
    </xf>
    <xf numFmtId="167" fontId="26" fillId="0" borderId="0" xfId="0" applyNumberFormat="1" applyFont="1" applyFill="1" applyBorder="1" applyAlignment="1">
      <alignment horizontal="right" vertical="center" indent="1"/>
    </xf>
    <xf numFmtId="167" fontId="26" fillId="6" borderId="0" xfId="0" applyNumberFormat="1" applyFont="1" applyFill="1" applyBorder="1" applyAlignment="1">
      <alignment horizontal="right" vertical="center" indent="1"/>
    </xf>
    <xf numFmtId="1" fontId="22" fillId="8" borderId="0" xfId="0" applyNumberFormat="1" applyFont="1" applyFill="1" applyAlignment="1">
      <alignment horizontal="right" vertical="center" indent="1"/>
    </xf>
    <xf numFmtId="167" fontId="22" fillId="0" borderId="0" xfId="4" applyNumberFormat="1" applyFont="1" applyFill="1" applyBorder="1" applyAlignment="1">
      <alignment horizontal="right" vertical="center" indent="1"/>
    </xf>
    <xf numFmtId="167" fontId="22" fillId="6" borderId="0" xfId="4" applyNumberFormat="1" applyFont="1" applyFill="1" applyBorder="1" applyAlignment="1">
      <alignment horizontal="right" vertical="center" indent="1"/>
    </xf>
    <xf numFmtId="0" fontId="10"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44" fontId="11" fillId="0" borderId="0" xfId="5"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wrapText="1"/>
    </xf>
    <xf numFmtId="1" fontId="0" fillId="12" borderId="0" xfId="0" applyNumberFormat="1" applyFont="1" applyFill="1" applyBorder="1" applyAlignment="1">
      <alignment horizontal="right" vertical="center" indent="1"/>
    </xf>
    <xf numFmtId="1" fontId="0" fillId="13" borderId="0" xfId="0" applyNumberFormat="1" applyFont="1" applyFill="1" applyBorder="1" applyAlignment="1">
      <alignment horizontal="right" vertical="center" indent="1"/>
    </xf>
    <xf numFmtId="167" fontId="0" fillId="13" borderId="0" xfId="4" applyNumberFormat="1" applyFont="1" applyFill="1" applyBorder="1" applyAlignment="1">
      <alignment horizontal="right" vertical="center" indent="1"/>
    </xf>
    <xf numFmtId="167" fontId="0" fillId="12" borderId="0" xfId="4" applyNumberFormat="1" applyFont="1" applyFill="1" applyBorder="1" applyAlignment="1">
      <alignment horizontal="right" vertical="center" indent="1"/>
    </xf>
    <xf numFmtId="0" fontId="25" fillId="0" borderId="0" xfId="0" applyFont="1">
      <alignment vertical="center"/>
    </xf>
  </cellXfs>
  <cellStyles count="6">
    <cellStyle name="Dashboard Labels" xfId="2"/>
    <cellStyle name="Dashboard Values" xfId="3"/>
    <cellStyle name="Moeda" xfId="5" builtinId="4"/>
    <cellStyle name="Normal" xfId="0" builtinId="0" customBuiltin="1"/>
    <cellStyle name="Table Title" xfId="1"/>
    <cellStyle name="Vírgula" xfId="4" builtinId="3"/>
  </cellStyles>
  <dxfs count="683">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numFmt numFmtId="1" formatCode="0"/>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numFmt numFmtId="1" formatCode="0"/>
    </dxf>
    <dxf>
      <numFmt numFmtId="1" formatCode="0"/>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numFmt numFmtId="167" formatCode="_-* #,##0_-;\-* #,##0_-;_-* &quot;-&quot;??_-;_-@_-"/>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rgb="FF002060"/>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sz val="10"/>
        <name val="Century Gothic"/>
        <scheme val="minor"/>
      </font>
      <numFmt numFmtId="166" formatCode="_-[$$-1409]* #,##0.00_-;\-[$$-1409]* #,##0.00_-;_-[$$-1409]* &quot;-&quot;??_-;_-@_-"/>
      <alignment horizontal="left" vertical="center" textRotation="0" wrapText="0" indent="1" justifyLastLine="0" shrinkToFit="0" readingOrder="0"/>
    </dxf>
    <dxf>
      <font>
        <strike val="0"/>
        <outline val="0"/>
        <shadow val="0"/>
        <u val="none"/>
        <vertAlign val="baseline"/>
        <sz val="8"/>
        <name val="Century Gothic"/>
        <scheme val="minor"/>
      </font>
      <numFmt numFmtId="0" formatCode="General"/>
      <alignment horizontal="left" vertical="center" textRotation="0" wrapText="0" indent="1" justifyLastLine="0" shrinkToFit="0" readingOrder="0"/>
    </dxf>
    <dxf>
      <font>
        <strike val="0"/>
        <outline val="0"/>
        <shadow val="0"/>
        <u val="none"/>
        <vertAlign val="baseline"/>
        <sz val="10"/>
        <name val="Century Gothic"/>
        <scheme val="minor"/>
      </font>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font>
        <strike val="0"/>
        <outline val="0"/>
        <shadow val="0"/>
        <u val="none"/>
        <vertAlign val="baseline"/>
        <sz val="10"/>
        <name val="Century Gothic"/>
        <scheme val="minor"/>
      </font>
      <numFmt numFmtId="166" formatCode="_-[$$-1409]* #,##0.00_-;\-[$$-1409]* #,##0.00_-;_-[$$-1409]* &quot;-&quot;??_-;_-@_-"/>
      <alignment horizontal="left" vertical="center" textRotation="0" wrapText="0" indent="1" justifyLastLine="0" shrinkToFit="0" readingOrder="0"/>
    </dxf>
    <dxf>
      <font>
        <strike val="0"/>
        <outline val="0"/>
        <shadow val="0"/>
        <u val="none"/>
        <vertAlign val="baseline"/>
        <sz val="8"/>
        <name val="Century Gothic"/>
        <scheme val="minor"/>
      </font>
      <numFmt numFmtId="0" formatCode="General"/>
      <alignment horizontal="left" vertical="center" textRotation="0" wrapText="0" indent="1" justifyLastLine="0" shrinkToFit="0" readingOrder="0"/>
    </dxf>
    <dxf>
      <font>
        <strike val="0"/>
        <outline val="0"/>
        <shadow val="0"/>
        <u val="none"/>
        <vertAlign val="baseline"/>
        <sz val="10"/>
        <name val="Century Gothic"/>
        <scheme val="minor"/>
      </font>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font>
        <strike val="0"/>
        <outline val="0"/>
        <shadow val="0"/>
        <u val="none"/>
        <vertAlign val="baseline"/>
        <sz val="10"/>
        <name val="Century Gothic"/>
        <scheme val="minor"/>
      </font>
      <numFmt numFmtId="166" formatCode="_-[$$-1409]* #,##0.00_-;\-[$$-1409]* #,##0.00_-;_-[$$-1409]* &quot;-&quot;??_-;_-@_-"/>
      <alignment horizontal="left" vertical="center" textRotation="0" wrapText="0" indent="1" justifyLastLine="0" shrinkToFit="0" readingOrder="0"/>
    </dxf>
    <dxf>
      <font>
        <strike val="0"/>
        <outline val="0"/>
        <shadow val="0"/>
        <u val="none"/>
        <vertAlign val="baseline"/>
        <sz val="8"/>
        <name val="Century Gothic"/>
        <scheme val="minor"/>
      </font>
      <numFmt numFmtId="0" formatCode="General"/>
      <alignment horizontal="left" vertical="center" textRotation="0" wrapText="0" indent="1" justifyLastLine="0" shrinkToFit="0" readingOrder="0"/>
    </dxf>
    <dxf>
      <font>
        <strike val="0"/>
        <outline val="0"/>
        <shadow val="0"/>
        <u val="none"/>
        <vertAlign val="baseline"/>
        <sz val="10"/>
        <name val="Century Gothic"/>
        <scheme val="minor"/>
      </font>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fill>
        <patternFill patternType="solid">
          <fgColor theme="2"/>
          <bgColor theme="2" tint="-0.249977111117893"/>
        </patternFill>
      </fill>
      <alignment horizontal="general" vertical="center" textRotation="0" wrapText="0" indent="0" justifyLastLine="0" shrinkToFit="0" readingOrder="0"/>
    </dxf>
    <dxf>
      <numFmt numFmtId="167" formatCode="_-* #,##0_-;\-* #,##0_-;_-* &quot;-&quot;??_-;_-@_-"/>
      <fill>
        <patternFill>
          <bgColor theme="2" tint="-0.249977111117893"/>
        </patternFill>
      </fill>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fill>
        <patternFill patternType="solid">
          <fgColor theme="2"/>
          <bgColor theme="2" tint="-0.249977111117893"/>
        </patternFill>
      </fill>
      <alignment horizontal="general" vertical="center" textRotation="0" wrapText="0" indent="0" justifyLastLine="0" shrinkToFit="0" readingOrder="0"/>
    </dxf>
    <dxf>
      <numFmt numFmtId="167" formatCode="_-* #,##0_-;\-* #,##0_-;_-* &quot;-&quot;??_-;_-@_-"/>
      <fill>
        <patternFill>
          <bgColor theme="2" tint="-0.249977111117893"/>
        </patternFill>
      </fill>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font>
        <b/>
        <i val="0"/>
        <strike val="0"/>
        <condense val="0"/>
        <extend val="0"/>
        <outline val="0"/>
        <shadow val="0"/>
        <u val="none"/>
        <vertAlign val="baseline"/>
        <sz val="9"/>
        <color theme="1"/>
        <name val="Century Gothic"/>
        <scheme val="minor"/>
      </font>
      <numFmt numFmtId="167" formatCode="_-* #,##0_-;\-* #,##0_-;_-* &quot;-&quot;??_-;_-@_-"/>
      <alignment horizontal="general" vertical="center" textRotation="0" wrapText="0" indent="0" justifyLastLine="0" shrinkToFit="0" readingOrder="0"/>
    </dxf>
    <dxf>
      <numFmt numFmtId="167" formatCode="_-* #,##0_-;\-* #,##0_-;_-* &quot;-&quot;??_-;_-@_-"/>
    </dxf>
    <dxf>
      <numFmt numFmtId="3" formatCode="#,##0"/>
      <alignment horizontal="center" vertical="bottom" textRotation="0" wrapText="0" indent="0"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border diagonalUp="0" diagonalDown="0" outline="0">
        <left/>
        <right/>
        <top/>
        <bottom/>
      </border>
    </dxf>
    <dxf>
      <font>
        <b/>
        <i val="0"/>
        <color theme="0"/>
      </font>
      <fill>
        <patternFill patternType="solid">
          <bgColor theme="5"/>
        </patternFill>
      </fill>
      <border>
        <bottom/>
      </border>
    </dxf>
    <dxf>
      <fill>
        <patternFill patternType="solid">
          <fgColor auto="1"/>
          <bgColor theme="0"/>
        </patternFill>
      </fill>
      <border>
        <horizontal style="thin">
          <color theme="4" tint="0.59996337778862885"/>
        </horizontal>
      </border>
    </dxf>
    <dxf>
      <font>
        <b/>
        <i val="0"/>
        <color theme="0"/>
      </font>
      <fill>
        <patternFill>
          <bgColor theme="5"/>
        </patternFill>
      </fill>
      <border>
        <bottom/>
      </border>
    </dxf>
    <dxf>
      <fill>
        <patternFill>
          <bgColor theme="4" tint="0.59996337778862885"/>
        </patternFill>
      </fill>
      <border>
        <horizontal style="thin">
          <color theme="4" tint="-0.24994659260841701"/>
        </horizontal>
      </border>
    </dxf>
    <dxf>
      <fill>
        <patternFill patternType="solid">
          <fgColor auto="1"/>
          <bgColor theme="2" tint="-9.9948118533890809E-2"/>
        </patternFill>
      </fill>
    </dxf>
    <dxf>
      <fill>
        <patternFill patternType="none">
          <bgColor auto="1"/>
        </patternFill>
      </fill>
    </dxf>
    <dxf>
      <font>
        <color theme="0"/>
      </font>
      <fill>
        <patternFill patternType="solid">
          <fgColor theme="4"/>
          <bgColor theme="4"/>
        </patternFill>
      </fill>
      <border>
        <left/>
        <right/>
        <top/>
        <bottom style="thin">
          <color theme="4"/>
        </bottom>
        <vertical/>
      </border>
    </dxf>
    <dxf>
      <font>
        <color theme="3"/>
      </font>
      <border diagonalUp="0" diagonalDown="0">
        <left/>
        <right/>
        <top/>
        <bottom/>
        <vertical/>
        <horizontal/>
      </border>
    </dxf>
  </dxfs>
  <tableStyles count="3" defaultTableStyle="Budget Tables" defaultPivotStyle="PivotStyleMedium3">
    <tableStyle name="Budget Tables" pivot="0" count="4">
      <tableStyleElement type="wholeTable" dxfId="682"/>
      <tableStyleElement type="headerRow" dxfId="681"/>
      <tableStyleElement type="firstColumn" dxfId="680"/>
      <tableStyleElement type="firstRowStripe" dxfId="679"/>
    </tableStyle>
    <tableStyle name="Other Custom Table Style" pivot="0" count="2">
      <tableStyleElement type="wholeTable" dxfId="678"/>
      <tableStyleElement type="headerRow" dxfId="677"/>
    </tableStyle>
    <tableStyle name="Setup Tables" pivot="0" count="2">
      <tableStyleElement type="wholeTable" dxfId="676"/>
      <tableStyleElement type="headerRow" dxfId="675"/>
    </tableStyle>
  </tableStyles>
  <colors>
    <mruColors>
      <color rgb="FFFF6600"/>
      <color rgb="FFFFFFFF"/>
      <color rgb="FFD0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Painel!A1"/></Relationships>
</file>

<file path=xl/drawings/_rels/drawing2.xml.rels><?xml version="1.0" encoding="UTF-8" standalone="yes"?>
<Relationships xmlns="http://schemas.openxmlformats.org/package/2006/relationships"><Relationship Id="rId1" Type="http://schemas.openxmlformats.org/officeDocument/2006/relationships/hyperlink" Target="#Painel!A1"/></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20</xdr:col>
      <xdr:colOff>226695</xdr:colOff>
      <xdr:row>1</xdr:row>
      <xdr:rowOff>261</xdr:rowOff>
    </xdr:to>
    <xdr:sp macro="" textlink="">
      <xdr:nvSpPr>
        <xdr:cNvPr id="2" name="Borda do Cabeçalho" descr="&quot;&quot;" title="Header border"/>
        <xdr:cNvSpPr/>
      </xdr:nvSpPr>
      <xdr:spPr>
        <a:xfrm>
          <a:off x="10715625" y="0"/>
          <a:ext cx="2103120" cy="438411"/>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xdr:col>
      <xdr:colOff>180975</xdr:colOff>
      <xdr:row>0</xdr:row>
      <xdr:rowOff>0</xdr:rowOff>
    </xdr:from>
    <xdr:to>
      <xdr:col>1</xdr:col>
      <xdr:colOff>1433517</xdr:colOff>
      <xdr:row>2</xdr:row>
      <xdr:rowOff>109537</xdr:rowOff>
    </xdr:to>
    <xdr:grpSp>
      <xdr:nvGrpSpPr>
        <xdr:cNvPr id="4" name="Grupo 3" descr="&quot;&quot;" title="Starting Balance"/>
        <xdr:cNvGrpSpPr/>
      </xdr:nvGrpSpPr>
      <xdr:grpSpPr>
        <a:xfrm>
          <a:off x="304800" y="0"/>
          <a:ext cx="1252542" cy="757237"/>
          <a:chOff x="304800" y="0"/>
          <a:chExt cx="1252542" cy="757237"/>
        </a:xfrm>
      </xdr:grpSpPr>
      <xdr:sp macro="" textlink="">
        <xdr:nvSpPr>
          <xdr:cNvPr id="24" name="Pentágono 23" descr="&quot;&quot;" title="Starting Balance"/>
          <xdr:cNvSpPr/>
        </xdr:nvSpPr>
        <xdr:spPr>
          <a:xfrm rot="5400000">
            <a:off x="552452" y="-247652"/>
            <a:ext cx="757237" cy="1252542"/>
          </a:xfrm>
          <a:prstGeom prst="homePlate">
            <a:avLst>
              <a:gd name="adj" fmla="val 21582"/>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5" name="Grupo 24"/>
          <xdr:cNvGrpSpPr/>
        </xdr:nvGrpSpPr>
        <xdr:grpSpPr>
          <a:xfrm>
            <a:off x="380561" y="33337"/>
            <a:ext cx="1097282" cy="576263"/>
            <a:chOff x="816249" y="19050"/>
            <a:chExt cx="1130659" cy="576263"/>
          </a:xfrm>
        </xdr:grpSpPr>
        <xdr:sp macro="" textlink="">
          <xdr:nvSpPr>
            <xdr:cNvPr id="26" name="Caixa de Texto 25"/>
            <xdr:cNvSpPr txBox="1"/>
          </xdr:nvSpPr>
          <xdr:spPr>
            <a:xfrm>
              <a:off x="816250" y="19050"/>
              <a:ext cx="11306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900" b="1" spc="50" baseline="0">
                  <a:solidFill>
                    <a:schemeClr val="bg1"/>
                  </a:solidFill>
                  <a:latin typeface="+mj-lt"/>
                </a:rPr>
                <a:t>Saldo inicial</a:t>
              </a:r>
            </a:p>
          </xdr:txBody>
        </xdr:sp>
        <xdr:sp macro="" textlink="SaldoInicial">
          <xdr:nvSpPr>
            <xdr:cNvPr id="27" name="Caixa de Texto 26"/>
            <xdr:cNvSpPr txBox="1"/>
          </xdr:nvSpPr>
          <xdr:spPr>
            <a:xfrm>
              <a:off x="816249" y="242888"/>
              <a:ext cx="113065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fld id="{2B216359-7D6C-4C16-9AE0-5BD22C726D6B}" type="TxLink">
                <a:rPr lang="en-US" sz="1800" b="1" i="0" u="none" strike="noStrike" spc="50" baseline="0">
                  <a:solidFill>
                    <a:schemeClr val="bg1"/>
                  </a:solidFill>
                  <a:latin typeface="+mj-lt"/>
                </a:rPr>
                <a:pPr algn="ctr"/>
                <a:t>-208 </a:t>
              </a:fld>
              <a:endParaRPr lang="en-US" sz="1800" b="1" spc="50" baseline="0">
                <a:solidFill>
                  <a:schemeClr val="bg1"/>
                </a:solidFill>
                <a:latin typeface="+mj-lt"/>
              </a:endParaRPr>
            </a:p>
          </xdr:txBody>
        </xdr:sp>
      </xdr:grpSp>
    </xdr:grpSp>
    <xdr:clientData/>
  </xdr:twoCellAnchor>
  <xdr:twoCellAnchor>
    <xdr:from>
      <xdr:col>17</xdr:col>
      <xdr:colOff>443744</xdr:colOff>
      <xdr:row>0</xdr:row>
      <xdr:rowOff>95251</xdr:rowOff>
    </xdr:from>
    <xdr:to>
      <xdr:col>20</xdr:col>
      <xdr:colOff>77984</xdr:colOff>
      <xdr:row>0</xdr:row>
      <xdr:rowOff>333375</xdr:rowOff>
    </xdr:to>
    <xdr:sp macro="" textlink="">
      <xdr:nvSpPr>
        <xdr:cNvPr id="34" name="Voltar à Visão Geral" descr="Click to return to the Dashboard sheet" title="Voltar à Visão Geral">
          <a:hlinkClick xmlns:r="http://schemas.openxmlformats.org/officeDocument/2006/relationships" r:id="rId1" tooltip="Clique para retornar ao Painel"/>
        </xdr:cNvPr>
        <xdr:cNvSpPr txBox="1"/>
      </xdr:nvSpPr>
      <xdr:spPr>
        <a:xfrm>
          <a:off x="11206994" y="95251"/>
          <a:ext cx="1463040" cy="238124"/>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800" b="1" spc="40" baseline="0">
              <a:solidFill>
                <a:schemeClr val="bg1"/>
              </a:solidFill>
              <a:latin typeface="+mj-lt"/>
            </a:rPr>
            <a:t>voltar à visão geral</a:t>
          </a:r>
        </a:p>
      </xdr:txBody>
    </xdr:sp>
    <xdr:clientData fPrintsWithSheet="0"/>
  </xdr:twoCellAnchor>
  <xdr:twoCellAnchor editAs="oneCell">
    <xdr:from>
      <xdr:col>17</xdr:col>
      <xdr:colOff>180975</xdr:colOff>
      <xdr:row>0</xdr:row>
      <xdr:rowOff>28575</xdr:rowOff>
    </xdr:from>
    <xdr:to>
      <xdr:col>17</xdr:col>
      <xdr:colOff>546735</xdr:colOff>
      <xdr:row>0</xdr:row>
      <xdr:rowOff>394335</xdr:rowOff>
    </xdr:to>
    <xdr:grpSp>
      <xdr:nvGrpSpPr>
        <xdr:cNvPr id="30" name="shpMedidor" descr="&quot;&quot;" title="Dashboard icon"/>
        <xdr:cNvGrpSpPr>
          <a:grpSpLocks noChangeAspect="1"/>
        </xdr:cNvGrpSpPr>
      </xdr:nvGrpSpPr>
      <xdr:grpSpPr bwMode="auto">
        <a:xfrm>
          <a:off x="11153775" y="28575"/>
          <a:ext cx="365760" cy="365760"/>
          <a:chOff x="695" y="842"/>
          <a:chExt cx="45" cy="45"/>
        </a:xfrm>
      </xdr:grpSpPr>
      <xdr:sp macro="" textlink="">
        <xdr:nvSpPr>
          <xdr:cNvPr id="31" name="Retângulo 60"/>
          <xdr:cNvSpPr>
            <a:spLocks noChangeArrowheads="1"/>
          </xdr:cNvSpPr>
        </xdr:nvSpPr>
        <xdr:spPr bwMode="auto">
          <a:xfrm>
            <a:off x="695" y="842"/>
            <a:ext cx="45" cy="4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 name="Forma Livre 61"/>
          <xdr:cNvSpPr>
            <a:spLocks/>
          </xdr:cNvSpPr>
        </xdr:nvSpPr>
        <xdr:spPr bwMode="auto">
          <a:xfrm>
            <a:off x="695" y="842"/>
            <a:ext cx="44" cy="44"/>
          </a:xfrm>
          <a:custGeom>
            <a:avLst/>
            <a:gdLst>
              <a:gd name="T0" fmla="*/ 1672 w 3238"/>
              <a:gd name="T1" fmla="*/ 18 h 3203"/>
              <a:gd name="T2" fmla="*/ 2098 w 3238"/>
              <a:gd name="T3" fmla="*/ 88 h 3203"/>
              <a:gd name="T4" fmla="*/ 2165 w 3238"/>
              <a:gd name="T5" fmla="*/ 95 h 3203"/>
              <a:gd name="T6" fmla="*/ 2274 w 3238"/>
              <a:gd name="T7" fmla="*/ 416 h 3203"/>
              <a:gd name="T8" fmla="*/ 2603 w 3238"/>
              <a:gd name="T9" fmla="*/ 332 h 3203"/>
              <a:gd name="T10" fmla="*/ 2646 w 3238"/>
              <a:gd name="T11" fmla="*/ 386 h 3203"/>
              <a:gd name="T12" fmla="*/ 2936 w 3238"/>
              <a:gd name="T13" fmla="*/ 704 h 3203"/>
              <a:gd name="T14" fmla="*/ 2986 w 3238"/>
              <a:gd name="T15" fmla="*/ 751 h 3203"/>
              <a:gd name="T16" fmla="*/ 2874 w 3238"/>
              <a:gd name="T17" fmla="*/ 1064 h 3203"/>
              <a:gd name="T18" fmla="*/ 3186 w 3238"/>
              <a:gd name="T19" fmla="*/ 1201 h 3203"/>
              <a:gd name="T20" fmla="*/ 3186 w 3238"/>
              <a:gd name="T21" fmla="*/ 1269 h 3203"/>
              <a:gd name="T22" fmla="*/ 3225 w 3238"/>
              <a:gd name="T23" fmla="*/ 1696 h 3203"/>
              <a:gd name="T24" fmla="*/ 3234 w 3238"/>
              <a:gd name="T25" fmla="*/ 1765 h 3203"/>
              <a:gd name="T26" fmla="*/ 2944 w 3238"/>
              <a:gd name="T27" fmla="*/ 1940 h 3203"/>
              <a:gd name="T28" fmla="*/ 3114 w 3238"/>
              <a:gd name="T29" fmla="*/ 2241 h 3203"/>
              <a:gd name="T30" fmla="*/ 3073 w 3238"/>
              <a:gd name="T31" fmla="*/ 2295 h 3203"/>
              <a:gd name="T32" fmla="*/ 2835 w 3238"/>
              <a:gd name="T33" fmla="*/ 2661 h 3203"/>
              <a:gd name="T34" fmla="*/ 2802 w 3238"/>
              <a:gd name="T35" fmla="*/ 2722 h 3203"/>
              <a:gd name="T36" fmla="*/ 2466 w 3238"/>
              <a:gd name="T37" fmla="*/ 2690 h 3203"/>
              <a:gd name="T38" fmla="*/ 2408 w 3238"/>
              <a:gd name="T39" fmla="*/ 3020 h 3203"/>
              <a:gd name="T40" fmla="*/ 2343 w 3238"/>
              <a:gd name="T41" fmla="*/ 3037 h 3203"/>
              <a:gd name="T42" fmla="*/ 1933 w 3238"/>
              <a:gd name="T43" fmla="*/ 3176 h 3203"/>
              <a:gd name="T44" fmla="*/ 1883 w 3238"/>
              <a:gd name="T45" fmla="*/ 3203 h 3203"/>
              <a:gd name="T46" fmla="*/ 1834 w 3238"/>
              <a:gd name="T47" fmla="*/ 3190 h 3203"/>
              <a:gd name="T48" fmla="*/ 1402 w 3238"/>
              <a:gd name="T49" fmla="*/ 3192 h 3203"/>
              <a:gd name="T50" fmla="*/ 1333 w 3238"/>
              <a:gd name="T51" fmla="*/ 3197 h 3203"/>
              <a:gd name="T52" fmla="*/ 1174 w 3238"/>
              <a:gd name="T53" fmla="*/ 2900 h 3203"/>
              <a:gd name="T54" fmla="*/ 862 w 3238"/>
              <a:gd name="T55" fmla="*/ 3037 h 3203"/>
              <a:gd name="T56" fmla="*/ 812 w 3238"/>
              <a:gd name="T57" fmla="*/ 2991 h 3203"/>
              <a:gd name="T58" fmla="*/ 475 w 3238"/>
              <a:gd name="T59" fmla="*/ 2733 h 3203"/>
              <a:gd name="T60" fmla="*/ 418 w 3238"/>
              <a:gd name="T61" fmla="*/ 2694 h 3203"/>
              <a:gd name="T62" fmla="*/ 477 w 3238"/>
              <a:gd name="T63" fmla="*/ 2358 h 3203"/>
              <a:gd name="T64" fmla="*/ 140 w 3238"/>
              <a:gd name="T65" fmla="*/ 2274 h 3203"/>
              <a:gd name="T66" fmla="*/ 128 w 3238"/>
              <a:gd name="T67" fmla="*/ 2207 h 3203"/>
              <a:gd name="T68" fmla="*/ 24 w 3238"/>
              <a:gd name="T69" fmla="*/ 1794 h 3203"/>
              <a:gd name="T70" fmla="*/ 1 w 3238"/>
              <a:gd name="T71" fmla="*/ 1728 h 3203"/>
              <a:gd name="T72" fmla="*/ 257 w 3238"/>
              <a:gd name="T73" fmla="*/ 1494 h 3203"/>
              <a:gd name="T74" fmla="*/ 45 w 3238"/>
              <a:gd name="T75" fmla="*/ 1236 h 3203"/>
              <a:gd name="T76" fmla="*/ 77 w 3238"/>
              <a:gd name="T77" fmla="*/ 1175 h 3203"/>
              <a:gd name="T78" fmla="*/ 250 w 3238"/>
              <a:gd name="T79" fmla="*/ 785 h 3203"/>
              <a:gd name="T80" fmla="*/ 273 w 3238"/>
              <a:gd name="T81" fmla="*/ 721 h 3203"/>
              <a:gd name="T82" fmla="*/ 611 w 3238"/>
              <a:gd name="T83" fmla="*/ 695 h 3203"/>
              <a:gd name="T84" fmla="*/ 614 w 3238"/>
              <a:gd name="T85" fmla="*/ 354 h 3203"/>
              <a:gd name="T86" fmla="*/ 676 w 3238"/>
              <a:gd name="T87" fmla="*/ 326 h 3203"/>
              <a:gd name="T88" fmla="*/ 1050 w 3238"/>
              <a:gd name="T89" fmla="*/ 121 h 3203"/>
              <a:gd name="T90" fmla="*/ 1108 w 3238"/>
              <a:gd name="T91" fmla="*/ 83 h 3203"/>
              <a:gd name="T92" fmla="*/ 1394 w 3238"/>
              <a:gd name="T93" fmla="*/ 269 h 3203"/>
              <a:gd name="T94" fmla="*/ 1604 w 3238"/>
              <a:gd name="T95" fmla="*/ 3 h 3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38" h="3203">
                <a:moveTo>
                  <a:pt x="1623" y="0"/>
                </a:moveTo>
                <a:lnTo>
                  <a:pt x="1641" y="2"/>
                </a:lnTo>
                <a:lnTo>
                  <a:pt x="1657" y="8"/>
                </a:lnTo>
                <a:lnTo>
                  <a:pt x="1672" y="18"/>
                </a:lnTo>
                <a:lnTo>
                  <a:pt x="1684" y="32"/>
                </a:lnTo>
                <a:lnTo>
                  <a:pt x="1843" y="268"/>
                </a:lnTo>
                <a:lnTo>
                  <a:pt x="2081" y="96"/>
                </a:lnTo>
                <a:lnTo>
                  <a:pt x="2098" y="88"/>
                </a:lnTo>
                <a:lnTo>
                  <a:pt x="2115" y="84"/>
                </a:lnTo>
                <a:lnTo>
                  <a:pt x="2132" y="83"/>
                </a:lnTo>
                <a:lnTo>
                  <a:pt x="2150" y="87"/>
                </a:lnTo>
                <a:lnTo>
                  <a:pt x="2165" y="95"/>
                </a:lnTo>
                <a:lnTo>
                  <a:pt x="2179" y="106"/>
                </a:lnTo>
                <a:lnTo>
                  <a:pt x="2189" y="120"/>
                </a:lnTo>
                <a:lnTo>
                  <a:pt x="2196" y="136"/>
                </a:lnTo>
                <a:lnTo>
                  <a:pt x="2274" y="416"/>
                </a:lnTo>
                <a:lnTo>
                  <a:pt x="2551" y="329"/>
                </a:lnTo>
                <a:lnTo>
                  <a:pt x="2568" y="326"/>
                </a:lnTo>
                <a:lnTo>
                  <a:pt x="2586" y="327"/>
                </a:lnTo>
                <a:lnTo>
                  <a:pt x="2603" y="332"/>
                </a:lnTo>
                <a:lnTo>
                  <a:pt x="2618" y="342"/>
                </a:lnTo>
                <a:lnTo>
                  <a:pt x="2631" y="354"/>
                </a:lnTo>
                <a:lnTo>
                  <a:pt x="2641" y="369"/>
                </a:lnTo>
                <a:lnTo>
                  <a:pt x="2646" y="386"/>
                </a:lnTo>
                <a:lnTo>
                  <a:pt x="2647" y="404"/>
                </a:lnTo>
                <a:lnTo>
                  <a:pt x="2626" y="695"/>
                </a:lnTo>
                <a:lnTo>
                  <a:pt x="2918" y="701"/>
                </a:lnTo>
                <a:lnTo>
                  <a:pt x="2936" y="704"/>
                </a:lnTo>
                <a:lnTo>
                  <a:pt x="2952" y="711"/>
                </a:lnTo>
                <a:lnTo>
                  <a:pt x="2967" y="721"/>
                </a:lnTo>
                <a:lnTo>
                  <a:pt x="2979" y="735"/>
                </a:lnTo>
                <a:lnTo>
                  <a:pt x="2986" y="751"/>
                </a:lnTo>
                <a:lnTo>
                  <a:pt x="2990" y="768"/>
                </a:lnTo>
                <a:lnTo>
                  <a:pt x="2989" y="786"/>
                </a:lnTo>
                <a:lnTo>
                  <a:pt x="2984" y="804"/>
                </a:lnTo>
                <a:lnTo>
                  <a:pt x="2874" y="1064"/>
                </a:lnTo>
                <a:lnTo>
                  <a:pt x="3146" y="1166"/>
                </a:lnTo>
                <a:lnTo>
                  <a:pt x="3162" y="1175"/>
                </a:lnTo>
                <a:lnTo>
                  <a:pt x="3176" y="1187"/>
                </a:lnTo>
                <a:lnTo>
                  <a:pt x="3186" y="1201"/>
                </a:lnTo>
                <a:lnTo>
                  <a:pt x="3192" y="1218"/>
                </a:lnTo>
                <a:lnTo>
                  <a:pt x="3194" y="1235"/>
                </a:lnTo>
                <a:lnTo>
                  <a:pt x="3192" y="1253"/>
                </a:lnTo>
                <a:lnTo>
                  <a:pt x="3186" y="1269"/>
                </a:lnTo>
                <a:lnTo>
                  <a:pt x="3176" y="1284"/>
                </a:lnTo>
                <a:lnTo>
                  <a:pt x="2986" y="1494"/>
                </a:lnTo>
                <a:lnTo>
                  <a:pt x="3213" y="1683"/>
                </a:lnTo>
                <a:lnTo>
                  <a:pt x="3225" y="1696"/>
                </a:lnTo>
                <a:lnTo>
                  <a:pt x="3234" y="1712"/>
                </a:lnTo>
                <a:lnTo>
                  <a:pt x="3238" y="1729"/>
                </a:lnTo>
                <a:lnTo>
                  <a:pt x="3238" y="1746"/>
                </a:lnTo>
                <a:lnTo>
                  <a:pt x="3234" y="1765"/>
                </a:lnTo>
                <a:lnTo>
                  <a:pt x="3226" y="1781"/>
                </a:lnTo>
                <a:lnTo>
                  <a:pt x="3215" y="1794"/>
                </a:lnTo>
                <a:lnTo>
                  <a:pt x="3200" y="1805"/>
                </a:lnTo>
                <a:lnTo>
                  <a:pt x="2944" y="1940"/>
                </a:lnTo>
                <a:lnTo>
                  <a:pt x="3103" y="2190"/>
                </a:lnTo>
                <a:lnTo>
                  <a:pt x="3111" y="2206"/>
                </a:lnTo>
                <a:lnTo>
                  <a:pt x="3114" y="2224"/>
                </a:lnTo>
                <a:lnTo>
                  <a:pt x="3114" y="2241"/>
                </a:lnTo>
                <a:lnTo>
                  <a:pt x="3109" y="2258"/>
                </a:lnTo>
                <a:lnTo>
                  <a:pt x="3100" y="2274"/>
                </a:lnTo>
                <a:lnTo>
                  <a:pt x="3087" y="2286"/>
                </a:lnTo>
                <a:lnTo>
                  <a:pt x="3073" y="2295"/>
                </a:lnTo>
                <a:lnTo>
                  <a:pt x="3055" y="2301"/>
                </a:lnTo>
                <a:lnTo>
                  <a:pt x="2767" y="2358"/>
                </a:lnTo>
                <a:lnTo>
                  <a:pt x="2833" y="2643"/>
                </a:lnTo>
                <a:lnTo>
                  <a:pt x="2835" y="2661"/>
                </a:lnTo>
                <a:lnTo>
                  <a:pt x="2833" y="2678"/>
                </a:lnTo>
                <a:lnTo>
                  <a:pt x="2827" y="2694"/>
                </a:lnTo>
                <a:lnTo>
                  <a:pt x="2816" y="2709"/>
                </a:lnTo>
                <a:lnTo>
                  <a:pt x="2802" y="2722"/>
                </a:lnTo>
                <a:lnTo>
                  <a:pt x="2786" y="2729"/>
                </a:lnTo>
                <a:lnTo>
                  <a:pt x="2769" y="2733"/>
                </a:lnTo>
                <a:lnTo>
                  <a:pt x="2751" y="2733"/>
                </a:lnTo>
                <a:lnTo>
                  <a:pt x="2466" y="2690"/>
                </a:lnTo>
                <a:lnTo>
                  <a:pt x="2433" y="2975"/>
                </a:lnTo>
                <a:lnTo>
                  <a:pt x="2428" y="2992"/>
                </a:lnTo>
                <a:lnTo>
                  <a:pt x="2420" y="3007"/>
                </a:lnTo>
                <a:lnTo>
                  <a:pt x="2408" y="3020"/>
                </a:lnTo>
                <a:lnTo>
                  <a:pt x="2394" y="3031"/>
                </a:lnTo>
                <a:lnTo>
                  <a:pt x="2377" y="3037"/>
                </a:lnTo>
                <a:lnTo>
                  <a:pt x="2360" y="3039"/>
                </a:lnTo>
                <a:lnTo>
                  <a:pt x="2343" y="3037"/>
                </a:lnTo>
                <a:lnTo>
                  <a:pt x="2326" y="3032"/>
                </a:lnTo>
                <a:lnTo>
                  <a:pt x="2063" y="2900"/>
                </a:lnTo>
                <a:lnTo>
                  <a:pt x="1943" y="3160"/>
                </a:lnTo>
                <a:lnTo>
                  <a:pt x="1933" y="3176"/>
                </a:lnTo>
                <a:lnTo>
                  <a:pt x="1921" y="3188"/>
                </a:lnTo>
                <a:lnTo>
                  <a:pt x="1906" y="3197"/>
                </a:lnTo>
                <a:lnTo>
                  <a:pt x="1889" y="3202"/>
                </a:lnTo>
                <a:lnTo>
                  <a:pt x="1883" y="3203"/>
                </a:lnTo>
                <a:lnTo>
                  <a:pt x="1875" y="3203"/>
                </a:lnTo>
                <a:lnTo>
                  <a:pt x="1861" y="3201"/>
                </a:lnTo>
                <a:lnTo>
                  <a:pt x="1847" y="3197"/>
                </a:lnTo>
                <a:lnTo>
                  <a:pt x="1834" y="3190"/>
                </a:lnTo>
                <a:lnTo>
                  <a:pt x="1823" y="3180"/>
                </a:lnTo>
                <a:lnTo>
                  <a:pt x="1622" y="2970"/>
                </a:lnTo>
                <a:lnTo>
                  <a:pt x="1416" y="3181"/>
                </a:lnTo>
                <a:lnTo>
                  <a:pt x="1402" y="3192"/>
                </a:lnTo>
                <a:lnTo>
                  <a:pt x="1386" y="3200"/>
                </a:lnTo>
                <a:lnTo>
                  <a:pt x="1369" y="3203"/>
                </a:lnTo>
                <a:lnTo>
                  <a:pt x="1351" y="3202"/>
                </a:lnTo>
                <a:lnTo>
                  <a:pt x="1333" y="3197"/>
                </a:lnTo>
                <a:lnTo>
                  <a:pt x="1318" y="3188"/>
                </a:lnTo>
                <a:lnTo>
                  <a:pt x="1306" y="3176"/>
                </a:lnTo>
                <a:lnTo>
                  <a:pt x="1296" y="3161"/>
                </a:lnTo>
                <a:lnTo>
                  <a:pt x="1174" y="2900"/>
                </a:lnTo>
                <a:lnTo>
                  <a:pt x="915" y="3031"/>
                </a:lnTo>
                <a:lnTo>
                  <a:pt x="897" y="3037"/>
                </a:lnTo>
                <a:lnTo>
                  <a:pt x="879" y="3039"/>
                </a:lnTo>
                <a:lnTo>
                  <a:pt x="862" y="3037"/>
                </a:lnTo>
                <a:lnTo>
                  <a:pt x="846" y="3031"/>
                </a:lnTo>
                <a:lnTo>
                  <a:pt x="831" y="3020"/>
                </a:lnTo>
                <a:lnTo>
                  <a:pt x="820" y="3007"/>
                </a:lnTo>
                <a:lnTo>
                  <a:pt x="812" y="2991"/>
                </a:lnTo>
                <a:lnTo>
                  <a:pt x="808" y="2974"/>
                </a:lnTo>
                <a:lnTo>
                  <a:pt x="777" y="2690"/>
                </a:lnTo>
                <a:lnTo>
                  <a:pt x="494" y="2733"/>
                </a:lnTo>
                <a:lnTo>
                  <a:pt x="475" y="2733"/>
                </a:lnTo>
                <a:lnTo>
                  <a:pt x="458" y="2730"/>
                </a:lnTo>
                <a:lnTo>
                  <a:pt x="442" y="2722"/>
                </a:lnTo>
                <a:lnTo>
                  <a:pt x="428" y="2709"/>
                </a:lnTo>
                <a:lnTo>
                  <a:pt x="418" y="2694"/>
                </a:lnTo>
                <a:lnTo>
                  <a:pt x="411" y="2678"/>
                </a:lnTo>
                <a:lnTo>
                  <a:pt x="409" y="2661"/>
                </a:lnTo>
                <a:lnTo>
                  <a:pt x="411" y="2643"/>
                </a:lnTo>
                <a:lnTo>
                  <a:pt x="477" y="2358"/>
                </a:lnTo>
                <a:lnTo>
                  <a:pt x="184" y="2301"/>
                </a:lnTo>
                <a:lnTo>
                  <a:pt x="168" y="2295"/>
                </a:lnTo>
                <a:lnTo>
                  <a:pt x="152" y="2286"/>
                </a:lnTo>
                <a:lnTo>
                  <a:pt x="140" y="2274"/>
                </a:lnTo>
                <a:lnTo>
                  <a:pt x="131" y="2258"/>
                </a:lnTo>
                <a:lnTo>
                  <a:pt x="126" y="2241"/>
                </a:lnTo>
                <a:lnTo>
                  <a:pt x="125" y="2224"/>
                </a:lnTo>
                <a:lnTo>
                  <a:pt x="128" y="2207"/>
                </a:lnTo>
                <a:lnTo>
                  <a:pt x="136" y="2191"/>
                </a:lnTo>
                <a:lnTo>
                  <a:pt x="293" y="1940"/>
                </a:lnTo>
                <a:lnTo>
                  <a:pt x="38" y="1804"/>
                </a:lnTo>
                <a:lnTo>
                  <a:pt x="24" y="1794"/>
                </a:lnTo>
                <a:lnTo>
                  <a:pt x="12" y="1780"/>
                </a:lnTo>
                <a:lnTo>
                  <a:pt x="4" y="1765"/>
                </a:lnTo>
                <a:lnTo>
                  <a:pt x="0" y="1746"/>
                </a:lnTo>
                <a:lnTo>
                  <a:pt x="1" y="1728"/>
                </a:lnTo>
                <a:lnTo>
                  <a:pt x="6" y="1711"/>
                </a:lnTo>
                <a:lnTo>
                  <a:pt x="14" y="1696"/>
                </a:lnTo>
                <a:lnTo>
                  <a:pt x="27" y="1683"/>
                </a:lnTo>
                <a:lnTo>
                  <a:pt x="257" y="1494"/>
                </a:lnTo>
                <a:lnTo>
                  <a:pt x="65" y="1284"/>
                </a:lnTo>
                <a:lnTo>
                  <a:pt x="53" y="1270"/>
                </a:lnTo>
                <a:lnTo>
                  <a:pt x="47" y="1253"/>
                </a:lnTo>
                <a:lnTo>
                  <a:pt x="45" y="1236"/>
                </a:lnTo>
                <a:lnTo>
                  <a:pt x="47" y="1218"/>
                </a:lnTo>
                <a:lnTo>
                  <a:pt x="53" y="1202"/>
                </a:lnTo>
                <a:lnTo>
                  <a:pt x="64" y="1187"/>
                </a:lnTo>
                <a:lnTo>
                  <a:pt x="77" y="1175"/>
                </a:lnTo>
                <a:lnTo>
                  <a:pt x="93" y="1167"/>
                </a:lnTo>
                <a:lnTo>
                  <a:pt x="363" y="1064"/>
                </a:lnTo>
                <a:lnTo>
                  <a:pt x="254" y="804"/>
                </a:lnTo>
                <a:lnTo>
                  <a:pt x="250" y="785"/>
                </a:lnTo>
                <a:lnTo>
                  <a:pt x="249" y="768"/>
                </a:lnTo>
                <a:lnTo>
                  <a:pt x="253" y="751"/>
                </a:lnTo>
                <a:lnTo>
                  <a:pt x="260" y="735"/>
                </a:lnTo>
                <a:lnTo>
                  <a:pt x="273" y="721"/>
                </a:lnTo>
                <a:lnTo>
                  <a:pt x="287" y="711"/>
                </a:lnTo>
                <a:lnTo>
                  <a:pt x="304" y="704"/>
                </a:lnTo>
                <a:lnTo>
                  <a:pt x="321" y="701"/>
                </a:lnTo>
                <a:lnTo>
                  <a:pt x="611" y="695"/>
                </a:lnTo>
                <a:lnTo>
                  <a:pt x="598" y="402"/>
                </a:lnTo>
                <a:lnTo>
                  <a:pt x="600" y="385"/>
                </a:lnTo>
                <a:lnTo>
                  <a:pt x="605" y="368"/>
                </a:lnTo>
                <a:lnTo>
                  <a:pt x="614" y="354"/>
                </a:lnTo>
                <a:lnTo>
                  <a:pt x="627" y="341"/>
                </a:lnTo>
                <a:lnTo>
                  <a:pt x="642" y="332"/>
                </a:lnTo>
                <a:lnTo>
                  <a:pt x="659" y="327"/>
                </a:lnTo>
                <a:lnTo>
                  <a:pt x="676" y="326"/>
                </a:lnTo>
                <a:lnTo>
                  <a:pt x="693" y="329"/>
                </a:lnTo>
                <a:lnTo>
                  <a:pt x="970" y="416"/>
                </a:lnTo>
                <a:lnTo>
                  <a:pt x="1044" y="137"/>
                </a:lnTo>
                <a:lnTo>
                  <a:pt x="1050" y="121"/>
                </a:lnTo>
                <a:lnTo>
                  <a:pt x="1060" y="106"/>
                </a:lnTo>
                <a:lnTo>
                  <a:pt x="1074" y="95"/>
                </a:lnTo>
                <a:lnTo>
                  <a:pt x="1090" y="87"/>
                </a:lnTo>
                <a:lnTo>
                  <a:pt x="1108" y="83"/>
                </a:lnTo>
                <a:lnTo>
                  <a:pt x="1125" y="84"/>
                </a:lnTo>
                <a:lnTo>
                  <a:pt x="1143" y="88"/>
                </a:lnTo>
                <a:lnTo>
                  <a:pt x="1158" y="97"/>
                </a:lnTo>
                <a:lnTo>
                  <a:pt x="1394" y="269"/>
                </a:lnTo>
                <a:lnTo>
                  <a:pt x="1562" y="31"/>
                </a:lnTo>
                <a:lnTo>
                  <a:pt x="1574" y="18"/>
                </a:lnTo>
                <a:lnTo>
                  <a:pt x="1588" y="9"/>
                </a:lnTo>
                <a:lnTo>
                  <a:pt x="1604" y="3"/>
                </a:lnTo>
                <a:lnTo>
                  <a:pt x="1623" y="0"/>
                </a:lnTo>
                <a:close/>
              </a:path>
            </a:pathLst>
          </a:custGeom>
          <a:solidFill>
            <a:srgbClr val="FFFFFF"/>
          </a:solidFill>
          <a:ln w="0">
            <a:solidFill>
              <a:srgbClr val="FFFFFF"/>
            </a:solidFill>
            <a:prstDash val="solid"/>
            <a:round/>
            <a:headEnd/>
            <a:tailEnd/>
          </a:ln>
        </xdr:spPr>
      </xdr:sp>
      <xdr:sp macro="" textlink="">
        <xdr:nvSpPr>
          <xdr:cNvPr id="33" name="Forma Livre 62"/>
          <xdr:cNvSpPr>
            <a:spLocks noEditPoints="1"/>
          </xdr:cNvSpPr>
        </xdr:nvSpPr>
        <xdr:spPr bwMode="auto">
          <a:xfrm>
            <a:off x="704" y="851"/>
            <a:ext cx="26" cy="26"/>
          </a:xfrm>
          <a:custGeom>
            <a:avLst/>
            <a:gdLst>
              <a:gd name="T0" fmla="*/ 866 w 1889"/>
              <a:gd name="T1" fmla="*/ 1272 h 1877"/>
              <a:gd name="T2" fmla="*/ 799 w 1889"/>
              <a:gd name="T3" fmla="*/ 1339 h 1877"/>
              <a:gd name="T4" fmla="*/ 772 w 1889"/>
              <a:gd name="T5" fmla="*/ 1435 h 1877"/>
              <a:gd name="T6" fmla="*/ 798 w 1889"/>
              <a:gd name="T7" fmla="*/ 1530 h 1877"/>
              <a:gd name="T8" fmla="*/ 866 w 1889"/>
              <a:gd name="T9" fmla="*/ 1597 h 1877"/>
              <a:gd name="T10" fmla="*/ 961 w 1889"/>
              <a:gd name="T11" fmla="*/ 1622 h 1877"/>
              <a:gd name="T12" fmla="*/ 1057 w 1889"/>
              <a:gd name="T13" fmla="*/ 1597 h 1877"/>
              <a:gd name="T14" fmla="*/ 1125 w 1889"/>
              <a:gd name="T15" fmla="*/ 1530 h 1877"/>
              <a:gd name="T16" fmla="*/ 1150 w 1889"/>
              <a:gd name="T17" fmla="*/ 1435 h 1877"/>
              <a:gd name="T18" fmla="*/ 1128 w 1889"/>
              <a:gd name="T19" fmla="*/ 1347 h 1877"/>
              <a:gd name="T20" fmla="*/ 1070 w 1889"/>
              <a:gd name="T21" fmla="*/ 1281 h 1877"/>
              <a:gd name="T22" fmla="*/ 1017 w 1889"/>
              <a:gd name="T23" fmla="*/ 722 h 1877"/>
              <a:gd name="T24" fmla="*/ 1281 w 1889"/>
              <a:gd name="T25" fmla="*/ 532 h 1877"/>
              <a:gd name="T26" fmla="*/ 1448 w 1889"/>
              <a:gd name="T27" fmla="*/ 366 h 1877"/>
              <a:gd name="T28" fmla="*/ 540 w 1889"/>
              <a:gd name="T29" fmla="*/ 616 h 1877"/>
              <a:gd name="T30" fmla="*/ 709 w 1889"/>
              <a:gd name="T31" fmla="*/ 214 h 1877"/>
              <a:gd name="T32" fmla="*/ 808 w 1889"/>
              <a:gd name="T33" fmla="*/ 426 h 1877"/>
              <a:gd name="T34" fmla="*/ 1102 w 1889"/>
              <a:gd name="T35" fmla="*/ 426 h 1877"/>
              <a:gd name="T36" fmla="*/ 1201 w 1889"/>
              <a:gd name="T37" fmla="*/ 214 h 1877"/>
              <a:gd name="T38" fmla="*/ 1020 w 1889"/>
              <a:gd name="T39" fmla="*/ 412 h 1877"/>
              <a:gd name="T40" fmla="*/ 945 w 1889"/>
              <a:gd name="T41" fmla="*/ 0 h 1877"/>
              <a:gd name="T42" fmla="*/ 1171 w 1889"/>
              <a:gd name="T43" fmla="*/ 27 h 1877"/>
              <a:gd name="T44" fmla="*/ 1379 w 1889"/>
              <a:gd name="T45" fmla="*/ 104 h 1877"/>
              <a:gd name="T46" fmla="*/ 1559 w 1889"/>
              <a:gd name="T47" fmla="*/ 226 h 1877"/>
              <a:gd name="T48" fmla="*/ 1707 w 1889"/>
              <a:gd name="T49" fmla="*/ 384 h 1877"/>
              <a:gd name="T50" fmla="*/ 1815 w 1889"/>
              <a:gd name="T51" fmla="*/ 573 h 1877"/>
              <a:gd name="T52" fmla="*/ 1877 w 1889"/>
              <a:gd name="T53" fmla="*/ 787 h 1877"/>
              <a:gd name="T54" fmla="*/ 1886 w 1889"/>
              <a:gd name="T55" fmla="*/ 1015 h 1877"/>
              <a:gd name="T56" fmla="*/ 1840 w 1889"/>
              <a:gd name="T57" fmla="*/ 1235 h 1877"/>
              <a:gd name="T58" fmla="*/ 1748 w 1889"/>
              <a:gd name="T59" fmla="*/ 1433 h 1877"/>
              <a:gd name="T60" fmla="*/ 1612 w 1889"/>
              <a:gd name="T61" fmla="*/ 1602 h 1877"/>
              <a:gd name="T62" fmla="*/ 1442 w 1889"/>
              <a:gd name="T63" fmla="*/ 1736 h 1877"/>
              <a:gd name="T64" fmla="*/ 1243 w 1889"/>
              <a:gd name="T65" fmla="*/ 1829 h 1877"/>
              <a:gd name="T66" fmla="*/ 1022 w 1889"/>
              <a:gd name="T67" fmla="*/ 1874 h 1877"/>
              <a:gd name="T68" fmla="*/ 792 w 1889"/>
              <a:gd name="T69" fmla="*/ 1865 h 1877"/>
              <a:gd name="T70" fmla="*/ 577 w 1889"/>
              <a:gd name="T71" fmla="*/ 1804 h 1877"/>
              <a:gd name="T72" fmla="*/ 387 w 1889"/>
              <a:gd name="T73" fmla="*/ 1696 h 1877"/>
              <a:gd name="T74" fmla="*/ 227 w 1889"/>
              <a:gd name="T75" fmla="*/ 1549 h 1877"/>
              <a:gd name="T76" fmla="*/ 106 w 1889"/>
              <a:gd name="T77" fmla="*/ 1369 h 1877"/>
              <a:gd name="T78" fmla="*/ 28 w 1889"/>
              <a:gd name="T79" fmla="*/ 1164 h 1877"/>
              <a:gd name="T80" fmla="*/ 0 w 1889"/>
              <a:gd name="T81" fmla="*/ 939 h 1877"/>
              <a:gd name="T82" fmla="*/ 28 w 1889"/>
              <a:gd name="T83" fmla="*/ 713 h 1877"/>
              <a:gd name="T84" fmla="*/ 106 w 1889"/>
              <a:gd name="T85" fmla="*/ 508 h 1877"/>
              <a:gd name="T86" fmla="*/ 227 w 1889"/>
              <a:gd name="T87" fmla="*/ 328 h 1877"/>
              <a:gd name="T88" fmla="*/ 387 w 1889"/>
              <a:gd name="T89" fmla="*/ 181 h 1877"/>
              <a:gd name="T90" fmla="*/ 577 w 1889"/>
              <a:gd name="T91" fmla="*/ 73 h 1877"/>
              <a:gd name="T92" fmla="*/ 792 w 1889"/>
              <a:gd name="T93" fmla="*/ 12 h 1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89" h="1877">
                <a:moveTo>
                  <a:pt x="897" y="722"/>
                </a:moveTo>
                <a:lnTo>
                  <a:pt x="897" y="1259"/>
                </a:lnTo>
                <a:lnTo>
                  <a:pt x="866" y="1272"/>
                </a:lnTo>
                <a:lnTo>
                  <a:pt x="840" y="1291"/>
                </a:lnTo>
                <a:lnTo>
                  <a:pt x="817" y="1313"/>
                </a:lnTo>
                <a:lnTo>
                  <a:pt x="799" y="1339"/>
                </a:lnTo>
                <a:lnTo>
                  <a:pt x="785" y="1369"/>
                </a:lnTo>
                <a:lnTo>
                  <a:pt x="775" y="1400"/>
                </a:lnTo>
                <a:lnTo>
                  <a:pt x="772" y="1435"/>
                </a:lnTo>
                <a:lnTo>
                  <a:pt x="775" y="1469"/>
                </a:lnTo>
                <a:lnTo>
                  <a:pt x="784" y="1500"/>
                </a:lnTo>
                <a:lnTo>
                  <a:pt x="798" y="1530"/>
                </a:lnTo>
                <a:lnTo>
                  <a:pt x="817" y="1556"/>
                </a:lnTo>
                <a:lnTo>
                  <a:pt x="839" y="1578"/>
                </a:lnTo>
                <a:lnTo>
                  <a:pt x="866" y="1597"/>
                </a:lnTo>
                <a:lnTo>
                  <a:pt x="896" y="1611"/>
                </a:lnTo>
                <a:lnTo>
                  <a:pt x="927" y="1619"/>
                </a:lnTo>
                <a:lnTo>
                  <a:pt x="961" y="1622"/>
                </a:lnTo>
                <a:lnTo>
                  <a:pt x="996" y="1619"/>
                </a:lnTo>
                <a:lnTo>
                  <a:pt x="1027" y="1611"/>
                </a:lnTo>
                <a:lnTo>
                  <a:pt x="1057" y="1597"/>
                </a:lnTo>
                <a:lnTo>
                  <a:pt x="1083" y="1578"/>
                </a:lnTo>
                <a:lnTo>
                  <a:pt x="1106" y="1556"/>
                </a:lnTo>
                <a:lnTo>
                  <a:pt x="1125" y="1530"/>
                </a:lnTo>
                <a:lnTo>
                  <a:pt x="1138" y="1500"/>
                </a:lnTo>
                <a:lnTo>
                  <a:pt x="1147" y="1469"/>
                </a:lnTo>
                <a:lnTo>
                  <a:pt x="1150" y="1435"/>
                </a:lnTo>
                <a:lnTo>
                  <a:pt x="1148" y="1403"/>
                </a:lnTo>
                <a:lnTo>
                  <a:pt x="1140" y="1374"/>
                </a:lnTo>
                <a:lnTo>
                  <a:pt x="1128" y="1347"/>
                </a:lnTo>
                <a:lnTo>
                  <a:pt x="1113" y="1322"/>
                </a:lnTo>
                <a:lnTo>
                  <a:pt x="1092" y="1300"/>
                </a:lnTo>
                <a:lnTo>
                  <a:pt x="1070" y="1281"/>
                </a:lnTo>
                <a:lnTo>
                  <a:pt x="1044" y="1266"/>
                </a:lnTo>
                <a:lnTo>
                  <a:pt x="1017" y="1255"/>
                </a:lnTo>
                <a:lnTo>
                  <a:pt x="1017" y="722"/>
                </a:lnTo>
                <a:lnTo>
                  <a:pt x="897" y="722"/>
                </a:lnTo>
                <a:close/>
                <a:moveTo>
                  <a:pt x="1448" y="366"/>
                </a:moveTo>
                <a:lnTo>
                  <a:pt x="1281" y="532"/>
                </a:lnTo>
                <a:lnTo>
                  <a:pt x="1366" y="616"/>
                </a:lnTo>
                <a:lnTo>
                  <a:pt x="1533" y="450"/>
                </a:lnTo>
                <a:lnTo>
                  <a:pt x="1448" y="366"/>
                </a:lnTo>
                <a:close/>
                <a:moveTo>
                  <a:pt x="459" y="366"/>
                </a:moveTo>
                <a:lnTo>
                  <a:pt x="374" y="450"/>
                </a:lnTo>
                <a:lnTo>
                  <a:pt x="540" y="616"/>
                </a:lnTo>
                <a:lnTo>
                  <a:pt x="625" y="532"/>
                </a:lnTo>
                <a:lnTo>
                  <a:pt x="459" y="366"/>
                </a:lnTo>
                <a:close/>
                <a:moveTo>
                  <a:pt x="709" y="214"/>
                </a:moveTo>
                <a:lnTo>
                  <a:pt x="600" y="264"/>
                </a:lnTo>
                <a:lnTo>
                  <a:pt x="699" y="477"/>
                </a:lnTo>
                <a:lnTo>
                  <a:pt x="808" y="426"/>
                </a:lnTo>
                <a:lnTo>
                  <a:pt x="709" y="214"/>
                </a:lnTo>
                <a:close/>
                <a:moveTo>
                  <a:pt x="1201" y="214"/>
                </a:moveTo>
                <a:lnTo>
                  <a:pt x="1102" y="426"/>
                </a:lnTo>
                <a:lnTo>
                  <a:pt x="1211" y="477"/>
                </a:lnTo>
                <a:lnTo>
                  <a:pt x="1310" y="264"/>
                </a:lnTo>
                <a:lnTo>
                  <a:pt x="1201" y="214"/>
                </a:lnTo>
                <a:close/>
                <a:moveTo>
                  <a:pt x="900" y="179"/>
                </a:moveTo>
                <a:lnTo>
                  <a:pt x="900" y="412"/>
                </a:lnTo>
                <a:lnTo>
                  <a:pt x="1020" y="412"/>
                </a:lnTo>
                <a:lnTo>
                  <a:pt x="1020" y="179"/>
                </a:lnTo>
                <a:lnTo>
                  <a:pt x="900" y="179"/>
                </a:lnTo>
                <a:close/>
                <a:moveTo>
                  <a:pt x="945" y="0"/>
                </a:moveTo>
                <a:lnTo>
                  <a:pt x="1022" y="3"/>
                </a:lnTo>
                <a:lnTo>
                  <a:pt x="1097" y="12"/>
                </a:lnTo>
                <a:lnTo>
                  <a:pt x="1171" y="27"/>
                </a:lnTo>
                <a:lnTo>
                  <a:pt x="1243" y="48"/>
                </a:lnTo>
                <a:lnTo>
                  <a:pt x="1312" y="73"/>
                </a:lnTo>
                <a:lnTo>
                  <a:pt x="1379" y="104"/>
                </a:lnTo>
                <a:lnTo>
                  <a:pt x="1442" y="141"/>
                </a:lnTo>
                <a:lnTo>
                  <a:pt x="1502" y="181"/>
                </a:lnTo>
                <a:lnTo>
                  <a:pt x="1559" y="226"/>
                </a:lnTo>
                <a:lnTo>
                  <a:pt x="1612" y="275"/>
                </a:lnTo>
                <a:lnTo>
                  <a:pt x="1662" y="328"/>
                </a:lnTo>
                <a:lnTo>
                  <a:pt x="1707" y="384"/>
                </a:lnTo>
                <a:lnTo>
                  <a:pt x="1748" y="444"/>
                </a:lnTo>
                <a:lnTo>
                  <a:pt x="1784" y="508"/>
                </a:lnTo>
                <a:lnTo>
                  <a:pt x="1815" y="573"/>
                </a:lnTo>
                <a:lnTo>
                  <a:pt x="1840" y="642"/>
                </a:lnTo>
                <a:lnTo>
                  <a:pt x="1862" y="713"/>
                </a:lnTo>
                <a:lnTo>
                  <a:pt x="1877" y="787"/>
                </a:lnTo>
                <a:lnTo>
                  <a:pt x="1886" y="862"/>
                </a:lnTo>
                <a:lnTo>
                  <a:pt x="1889" y="939"/>
                </a:lnTo>
                <a:lnTo>
                  <a:pt x="1886" y="1015"/>
                </a:lnTo>
                <a:lnTo>
                  <a:pt x="1877" y="1090"/>
                </a:lnTo>
                <a:lnTo>
                  <a:pt x="1862" y="1164"/>
                </a:lnTo>
                <a:lnTo>
                  <a:pt x="1840" y="1235"/>
                </a:lnTo>
                <a:lnTo>
                  <a:pt x="1815" y="1304"/>
                </a:lnTo>
                <a:lnTo>
                  <a:pt x="1784" y="1369"/>
                </a:lnTo>
                <a:lnTo>
                  <a:pt x="1748" y="1433"/>
                </a:lnTo>
                <a:lnTo>
                  <a:pt x="1707" y="1493"/>
                </a:lnTo>
                <a:lnTo>
                  <a:pt x="1662" y="1549"/>
                </a:lnTo>
                <a:lnTo>
                  <a:pt x="1612" y="1602"/>
                </a:lnTo>
                <a:lnTo>
                  <a:pt x="1559" y="1651"/>
                </a:lnTo>
                <a:lnTo>
                  <a:pt x="1502" y="1696"/>
                </a:lnTo>
                <a:lnTo>
                  <a:pt x="1442" y="1736"/>
                </a:lnTo>
                <a:lnTo>
                  <a:pt x="1379" y="1773"/>
                </a:lnTo>
                <a:lnTo>
                  <a:pt x="1312" y="1804"/>
                </a:lnTo>
                <a:lnTo>
                  <a:pt x="1243" y="1829"/>
                </a:lnTo>
                <a:lnTo>
                  <a:pt x="1171" y="1850"/>
                </a:lnTo>
                <a:lnTo>
                  <a:pt x="1097" y="1865"/>
                </a:lnTo>
                <a:lnTo>
                  <a:pt x="1022" y="1874"/>
                </a:lnTo>
                <a:lnTo>
                  <a:pt x="945" y="1877"/>
                </a:lnTo>
                <a:lnTo>
                  <a:pt x="867" y="1874"/>
                </a:lnTo>
                <a:lnTo>
                  <a:pt x="792" y="1865"/>
                </a:lnTo>
                <a:lnTo>
                  <a:pt x="718" y="1850"/>
                </a:lnTo>
                <a:lnTo>
                  <a:pt x="646" y="1829"/>
                </a:lnTo>
                <a:lnTo>
                  <a:pt x="577" y="1804"/>
                </a:lnTo>
                <a:lnTo>
                  <a:pt x="511" y="1773"/>
                </a:lnTo>
                <a:lnTo>
                  <a:pt x="447" y="1736"/>
                </a:lnTo>
                <a:lnTo>
                  <a:pt x="387" y="1696"/>
                </a:lnTo>
                <a:lnTo>
                  <a:pt x="330" y="1651"/>
                </a:lnTo>
                <a:lnTo>
                  <a:pt x="277" y="1602"/>
                </a:lnTo>
                <a:lnTo>
                  <a:pt x="227" y="1549"/>
                </a:lnTo>
                <a:lnTo>
                  <a:pt x="183" y="1493"/>
                </a:lnTo>
                <a:lnTo>
                  <a:pt x="142" y="1433"/>
                </a:lnTo>
                <a:lnTo>
                  <a:pt x="106" y="1369"/>
                </a:lnTo>
                <a:lnTo>
                  <a:pt x="75" y="1304"/>
                </a:lnTo>
                <a:lnTo>
                  <a:pt x="49" y="1235"/>
                </a:lnTo>
                <a:lnTo>
                  <a:pt x="28" y="1164"/>
                </a:lnTo>
                <a:lnTo>
                  <a:pt x="12" y="1090"/>
                </a:lnTo>
                <a:lnTo>
                  <a:pt x="3" y="1015"/>
                </a:lnTo>
                <a:lnTo>
                  <a:pt x="0" y="939"/>
                </a:lnTo>
                <a:lnTo>
                  <a:pt x="3" y="862"/>
                </a:lnTo>
                <a:lnTo>
                  <a:pt x="12" y="787"/>
                </a:lnTo>
                <a:lnTo>
                  <a:pt x="28" y="713"/>
                </a:lnTo>
                <a:lnTo>
                  <a:pt x="49" y="642"/>
                </a:lnTo>
                <a:lnTo>
                  <a:pt x="75" y="573"/>
                </a:lnTo>
                <a:lnTo>
                  <a:pt x="106" y="508"/>
                </a:lnTo>
                <a:lnTo>
                  <a:pt x="142" y="444"/>
                </a:lnTo>
                <a:lnTo>
                  <a:pt x="183" y="384"/>
                </a:lnTo>
                <a:lnTo>
                  <a:pt x="227" y="328"/>
                </a:lnTo>
                <a:lnTo>
                  <a:pt x="277" y="275"/>
                </a:lnTo>
                <a:lnTo>
                  <a:pt x="330" y="226"/>
                </a:lnTo>
                <a:lnTo>
                  <a:pt x="387" y="181"/>
                </a:lnTo>
                <a:lnTo>
                  <a:pt x="447" y="141"/>
                </a:lnTo>
                <a:lnTo>
                  <a:pt x="511" y="104"/>
                </a:lnTo>
                <a:lnTo>
                  <a:pt x="577" y="73"/>
                </a:lnTo>
                <a:lnTo>
                  <a:pt x="646" y="48"/>
                </a:lnTo>
                <a:lnTo>
                  <a:pt x="718" y="27"/>
                </a:lnTo>
                <a:lnTo>
                  <a:pt x="792" y="12"/>
                </a:lnTo>
                <a:lnTo>
                  <a:pt x="867" y="3"/>
                </a:lnTo>
                <a:lnTo>
                  <a:pt x="945" y="0"/>
                </a:lnTo>
                <a:close/>
              </a:path>
            </a:pathLst>
          </a:custGeom>
          <a:solidFill>
            <a:schemeClr val="tx2"/>
          </a:solidFill>
          <a:ln w="0">
            <a:solidFill>
              <a:schemeClr val="tx2"/>
            </a:solidFill>
            <a:prstDash val="solid"/>
            <a:round/>
            <a:headEnd/>
            <a:tailEnd/>
          </a:ln>
        </xdr:spPr>
      </xdr:sp>
    </xdr:grpSp>
    <xdr:clientData fPrintsWithSheet="0"/>
  </xdr:twoCellAnchor>
  <xdr:twoCellAnchor>
    <xdr:from>
      <xdr:col>17</xdr:col>
      <xdr:colOff>266700</xdr:colOff>
      <xdr:row>25</xdr:row>
      <xdr:rowOff>104772</xdr:rowOff>
    </xdr:from>
    <xdr:to>
      <xdr:col>20</xdr:col>
      <xdr:colOff>114300</xdr:colOff>
      <xdr:row>31</xdr:row>
      <xdr:rowOff>19050</xdr:rowOff>
    </xdr:to>
    <xdr:sp macro="" textlink="">
      <xdr:nvSpPr>
        <xdr:cNvPr id="13" name="Dica 2" descr="In the last cell above the Totals, such as P26, and press the Tab key." title="To add more rows:"/>
        <xdr:cNvSpPr/>
      </xdr:nvSpPr>
      <xdr:spPr>
        <a:xfrm>
          <a:off x="11029950" y="5362572"/>
          <a:ext cx="1676400" cy="752478"/>
        </a:xfrm>
        <a:prstGeom prst="wedgeRectCallout">
          <a:avLst>
            <a:gd name="adj1" fmla="val -63854"/>
            <a:gd name="adj2" fmla="val -20806"/>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110000"/>
            </a:lnSpc>
          </a:pPr>
          <a:r>
            <a:rPr lang="en-US" sz="900" b="1">
              <a:solidFill>
                <a:schemeClr val="tx2"/>
              </a:solidFill>
            </a:rPr>
            <a:t>Para adicionar mais linhas: </a:t>
          </a:r>
          <a:r>
            <a:rPr lang="en-US" sz="900" b="0">
              <a:solidFill>
                <a:schemeClr val="tx2"/>
              </a:solidFill>
            </a:rPr>
            <a:t>na última célula acima dos Totais, como </a:t>
          </a:r>
          <a:r>
            <a:rPr lang="en-US" sz="900" b="1">
              <a:solidFill>
                <a:schemeClr val="tx2"/>
              </a:solidFill>
            </a:rPr>
            <a:t>P26, </a:t>
          </a:r>
          <a:r>
            <a:rPr lang="en-US" sz="900" b="0">
              <a:solidFill>
                <a:schemeClr val="tx2"/>
              </a:solidFill>
            </a:rPr>
            <a:t>pressione a tecla </a:t>
          </a:r>
          <a:r>
            <a:rPr lang="en-US" sz="900" b="1">
              <a:solidFill>
                <a:schemeClr val="tx2"/>
              </a:solidFill>
            </a:rPr>
            <a:t>Tab.</a:t>
          </a:r>
          <a:endParaRPr lang="en-US" sz="900">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0</xdr:row>
      <xdr:rowOff>361956</xdr:rowOff>
    </xdr:from>
    <xdr:to>
      <xdr:col>3</xdr:col>
      <xdr:colOff>235839</xdr:colOff>
      <xdr:row>2</xdr:row>
      <xdr:rowOff>45345</xdr:rowOff>
    </xdr:to>
    <xdr:grpSp>
      <xdr:nvGrpSpPr>
        <xdr:cNvPr id="2" name="Ícone de Despesas" descr="&quot;&quot;" title="Ícone de Despesas"/>
        <xdr:cNvGrpSpPr>
          <a:grpSpLocks noChangeAspect="1"/>
        </xdr:cNvGrpSpPr>
      </xdr:nvGrpSpPr>
      <xdr:grpSpPr bwMode="auto">
        <a:xfrm>
          <a:off x="2381250" y="361956"/>
          <a:ext cx="397764" cy="397764"/>
          <a:chOff x="436" y="814"/>
          <a:chExt cx="56" cy="56"/>
        </a:xfrm>
      </xdr:grpSpPr>
      <xdr:sp macro="" textlink="">
        <xdr:nvSpPr>
          <xdr:cNvPr id="3" name="Retângulo 42"/>
          <xdr:cNvSpPr>
            <a:spLocks noChangeArrowheads="1"/>
          </xdr:cNvSpPr>
        </xdr:nvSpPr>
        <xdr:spPr bwMode="auto">
          <a:xfrm>
            <a:off x="436" y="814"/>
            <a:ext cx="56" cy="5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orma Livre 43"/>
          <xdr:cNvSpPr>
            <a:spLocks/>
          </xdr:cNvSpPr>
        </xdr:nvSpPr>
        <xdr:spPr bwMode="auto">
          <a:xfrm>
            <a:off x="436" y="815"/>
            <a:ext cx="55" cy="55"/>
          </a:xfrm>
          <a:custGeom>
            <a:avLst/>
            <a:gdLst>
              <a:gd name="T0" fmla="*/ 1676 w 3245"/>
              <a:gd name="T1" fmla="*/ 19 h 3231"/>
              <a:gd name="T2" fmla="*/ 2102 w 3245"/>
              <a:gd name="T3" fmla="*/ 90 h 3231"/>
              <a:gd name="T4" fmla="*/ 2170 w 3245"/>
              <a:gd name="T5" fmla="*/ 96 h 3231"/>
              <a:gd name="T6" fmla="*/ 2278 w 3245"/>
              <a:gd name="T7" fmla="*/ 421 h 3231"/>
              <a:gd name="T8" fmla="*/ 2608 w 3245"/>
              <a:gd name="T9" fmla="*/ 337 h 3231"/>
              <a:gd name="T10" fmla="*/ 2651 w 3245"/>
              <a:gd name="T11" fmla="*/ 391 h 3231"/>
              <a:gd name="T12" fmla="*/ 2941 w 3245"/>
              <a:gd name="T13" fmla="*/ 711 h 3231"/>
              <a:gd name="T14" fmla="*/ 2993 w 3245"/>
              <a:gd name="T15" fmla="*/ 758 h 3231"/>
              <a:gd name="T16" fmla="*/ 2879 w 3245"/>
              <a:gd name="T17" fmla="*/ 1074 h 3231"/>
              <a:gd name="T18" fmla="*/ 3192 w 3245"/>
              <a:gd name="T19" fmla="*/ 1212 h 3231"/>
              <a:gd name="T20" fmla="*/ 3192 w 3245"/>
              <a:gd name="T21" fmla="*/ 1280 h 3231"/>
              <a:gd name="T22" fmla="*/ 3232 w 3245"/>
              <a:gd name="T23" fmla="*/ 1712 h 3231"/>
              <a:gd name="T24" fmla="*/ 3241 w 3245"/>
              <a:gd name="T25" fmla="*/ 1780 h 3231"/>
              <a:gd name="T26" fmla="*/ 2950 w 3245"/>
              <a:gd name="T27" fmla="*/ 1957 h 3231"/>
              <a:gd name="T28" fmla="*/ 3120 w 3245"/>
              <a:gd name="T29" fmla="*/ 2261 h 3231"/>
              <a:gd name="T30" fmla="*/ 3079 w 3245"/>
              <a:gd name="T31" fmla="*/ 2316 h 3231"/>
              <a:gd name="T32" fmla="*/ 2841 w 3245"/>
              <a:gd name="T33" fmla="*/ 2684 h 3231"/>
              <a:gd name="T34" fmla="*/ 2808 w 3245"/>
              <a:gd name="T35" fmla="*/ 2744 h 3231"/>
              <a:gd name="T36" fmla="*/ 2472 w 3245"/>
              <a:gd name="T37" fmla="*/ 2714 h 3231"/>
              <a:gd name="T38" fmla="*/ 2414 w 3245"/>
              <a:gd name="T39" fmla="*/ 3047 h 3231"/>
              <a:gd name="T40" fmla="*/ 2348 w 3245"/>
              <a:gd name="T41" fmla="*/ 3064 h 3231"/>
              <a:gd name="T42" fmla="*/ 1938 w 3245"/>
              <a:gd name="T43" fmla="*/ 3203 h 3231"/>
              <a:gd name="T44" fmla="*/ 1886 w 3245"/>
              <a:gd name="T45" fmla="*/ 3230 h 3231"/>
              <a:gd name="T46" fmla="*/ 1827 w 3245"/>
              <a:gd name="T47" fmla="*/ 3207 h 3231"/>
              <a:gd name="T48" fmla="*/ 1389 w 3245"/>
              <a:gd name="T49" fmla="*/ 3227 h 3231"/>
              <a:gd name="T50" fmla="*/ 1321 w 3245"/>
              <a:gd name="T51" fmla="*/ 3215 h 3231"/>
              <a:gd name="T52" fmla="*/ 916 w 3245"/>
              <a:gd name="T53" fmla="*/ 3058 h 3231"/>
              <a:gd name="T54" fmla="*/ 847 w 3245"/>
              <a:gd name="T55" fmla="*/ 3057 h 3231"/>
              <a:gd name="T56" fmla="*/ 809 w 3245"/>
              <a:gd name="T57" fmla="*/ 3000 h 3231"/>
              <a:gd name="T58" fmla="*/ 459 w 3245"/>
              <a:gd name="T59" fmla="*/ 2752 h 3231"/>
              <a:gd name="T60" fmla="*/ 412 w 3245"/>
              <a:gd name="T61" fmla="*/ 2702 h 3231"/>
              <a:gd name="T62" fmla="*/ 184 w 3245"/>
              <a:gd name="T63" fmla="*/ 2322 h 3231"/>
              <a:gd name="T64" fmla="*/ 131 w 3245"/>
              <a:gd name="T65" fmla="*/ 2279 h 3231"/>
              <a:gd name="T66" fmla="*/ 136 w 3245"/>
              <a:gd name="T67" fmla="*/ 2209 h 3231"/>
              <a:gd name="T68" fmla="*/ 12 w 3245"/>
              <a:gd name="T69" fmla="*/ 1796 h 3231"/>
              <a:gd name="T70" fmla="*/ 6 w 3245"/>
              <a:gd name="T71" fmla="*/ 1727 h 3231"/>
              <a:gd name="T72" fmla="*/ 64 w 3245"/>
              <a:gd name="T73" fmla="*/ 1296 h 3231"/>
              <a:gd name="T74" fmla="*/ 47 w 3245"/>
              <a:gd name="T75" fmla="*/ 1229 h 3231"/>
              <a:gd name="T76" fmla="*/ 93 w 3245"/>
              <a:gd name="T77" fmla="*/ 1177 h 3231"/>
              <a:gd name="T78" fmla="*/ 250 w 3245"/>
              <a:gd name="T79" fmla="*/ 775 h 3231"/>
              <a:gd name="T80" fmla="*/ 287 w 3245"/>
              <a:gd name="T81" fmla="*/ 718 h 3231"/>
              <a:gd name="T82" fmla="*/ 599 w 3245"/>
              <a:gd name="T83" fmla="*/ 407 h 3231"/>
              <a:gd name="T84" fmla="*/ 628 w 3245"/>
              <a:gd name="T85" fmla="*/ 345 h 3231"/>
              <a:gd name="T86" fmla="*/ 695 w 3245"/>
              <a:gd name="T87" fmla="*/ 333 h 3231"/>
              <a:gd name="T88" fmla="*/ 1063 w 3245"/>
              <a:gd name="T89" fmla="*/ 108 h 3231"/>
              <a:gd name="T90" fmla="*/ 1128 w 3245"/>
              <a:gd name="T91" fmla="*/ 85 h 3231"/>
              <a:gd name="T92" fmla="*/ 1565 w 3245"/>
              <a:gd name="T93" fmla="*/ 32 h 3231"/>
              <a:gd name="T94" fmla="*/ 1626 w 3245"/>
              <a:gd name="T95" fmla="*/ 0 h 3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45" h="3231">
                <a:moveTo>
                  <a:pt x="1626" y="0"/>
                </a:moveTo>
                <a:lnTo>
                  <a:pt x="1644" y="3"/>
                </a:lnTo>
                <a:lnTo>
                  <a:pt x="1661" y="9"/>
                </a:lnTo>
                <a:lnTo>
                  <a:pt x="1676" y="19"/>
                </a:lnTo>
                <a:lnTo>
                  <a:pt x="1688" y="33"/>
                </a:lnTo>
                <a:lnTo>
                  <a:pt x="1847" y="272"/>
                </a:lnTo>
                <a:lnTo>
                  <a:pt x="2086" y="98"/>
                </a:lnTo>
                <a:lnTo>
                  <a:pt x="2102" y="90"/>
                </a:lnTo>
                <a:lnTo>
                  <a:pt x="2119" y="85"/>
                </a:lnTo>
                <a:lnTo>
                  <a:pt x="2136" y="85"/>
                </a:lnTo>
                <a:lnTo>
                  <a:pt x="2154" y="89"/>
                </a:lnTo>
                <a:lnTo>
                  <a:pt x="2170" y="96"/>
                </a:lnTo>
                <a:lnTo>
                  <a:pt x="2183" y="108"/>
                </a:lnTo>
                <a:lnTo>
                  <a:pt x="2193" y="122"/>
                </a:lnTo>
                <a:lnTo>
                  <a:pt x="2200" y="139"/>
                </a:lnTo>
                <a:lnTo>
                  <a:pt x="2278" y="421"/>
                </a:lnTo>
                <a:lnTo>
                  <a:pt x="2556" y="333"/>
                </a:lnTo>
                <a:lnTo>
                  <a:pt x="2574" y="330"/>
                </a:lnTo>
                <a:lnTo>
                  <a:pt x="2591" y="331"/>
                </a:lnTo>
                <a:lnTo>
                  <a:pt x="2608" y="337"/>
                </a:lnTo>
                <a:lnTo>
                  <a:pt x="2624" y="346"/>
                </a:lnTo>
                <a:lnTo>
                  <a:pt x="2637" y="359"/>
                </a:lnTo>
                <a:lnTo>
                  <a:pt x="2646" y="374"/>
                </a:lnTo>
                <a:lnTo>
                  <a:pt x="2651" y="391"/>
                </a:lnTo>
                <a:lnTo>
                  <a:pt x="2652" y="409"/>
                </a:lnTo>
                <a:lnTo>
                  <a:pt x="2632" y="702"/>
                </a:lnTo>
                <a:lnTo>
                  <a:pt x="2924" y="708"/>
                </a:lnTo>
                <a:lnTo>
                  <a:pt x="2941" y="711"/>
                </a:lnTo>
                <a:lnTo>
                  <a:pt x="2958" y="718"/>
                </a:lnTo>
                <a:lnTo>
                  <a:pt x="2972" y="728"/>
                </a:lnTo>
                <a:lnTo>
                  <a:pt x="2985" y="742"/>
                </a:lnTo>
                <a:lnTo>
                  <a:pt x="2993" y="758"/>
                </a:lnTo>
                <a:lnTo>
                  <a:pt x="2996" y="776"/>
                </a:lnTo>
                <a:lnTo>
                  <a:pt x="2996" y="793"/>
                </a:lnTo>
                <a:lnTo>
                  <a:pt x="2991" y="811"/>
                </a:lnTo>
                <a:lnTo>
                  <a:pt x="2879" y="1074"/>
                </a:lnTo>
                <a:lnTo>
                  <a:pt x="3153" y="1177"/>
                </a:lnTo>
                <a:lnTo>
                  <a:pt x="3169" y="1185"/>
                </a:lnTo>
                <a:lnTo>
                  <a:pt x="3182" y="1197"/>
                </a:lnTo>
                <a:lnTo>
                  <a:pt x="3192" y="1212"/>
                </a:lnTo>
                <a:lnTo>
                  <a:pt x="3199" y="1229"/>
                </a:lnTo>
                <a:lnTo>
                  <a:pt x="3201" y="1246"/>
                </a:lnTo>
                <a:lnTo>
                  <a:pt x="3199" y="1264"/>
                </a:lnTo>
                <a:lnTo>
                  <a:pt x="3192" y="1280"/>
                </a:lnTo>
                <a:lnTo>
                  <a:pt x="3182" y="1295"/>
                </a:lnTo>
                <a:lnTo>
                  <a:pt x="2993" y="1506"/>
                </a:lnTo>
                <a:lnTo>
                  <a:pt x="3220" y="1699"/>
                </a:lnTo>
                <a:lnTo>
                  <a:pt x="3232" y="1712"/>
                </a:lnTo>
                <a:lnTo>
                  <a:pt x="3241" y="1727"/>
                </a:lnTo>
                <a:lnTo>
                  <a:pt x="3245" y="1745"/>
                </a:lnTo>
                <a:lnTo>
                  <a:pt x="3245" y="1763"/>
                </a:lnTo>
                <a:lnTo>
                  <a:pt x="3241" y="1780"/>
                </a:lnTo>
                <a:lnTo>
                  <a:pt x="3233" y="1796"/>
                </a:lnTo>
                <a:lnTo>
                  <a:pt x="3222" y="1810"/>
                </a:lnTo>
                <a:lnTo>
                  <a:pt x="3207" y="1820"/>
                </a:lnTo>
                <a:lnTo>
                  <a:pt x="2950" y="1957"/>
                </a:lnTo>
                <a:lnTo>
                  <a:pt x="3110" y="2209"/>
                </a:lnTo>
                <a:lnTo>
                  <a:pt x="3117" y="2225"/>
                </a:lnTo>
                <a:lnTo>
                  <a:pt x="3121" y="2244"/>
                </a:lnTo>
                <a:lnTo>
                  <a:pt x="3120" y="2261"/>
                </a:lnTo>
                <a:lnTo>
                  <a:pt x="3115" y="2278"/>
                </a:lnTo>
                <a:lnTo>
                  <a:pt x="3106" y="2294"/>
                </a:lnTo>
                <a:lnTo>
                  <a:pt x="3094" y="2307"/>
                </a:lnTo>
                <a:lnTo>
                  <a:pt x="3079" y="2316"/>
                </a:lnTo>
                <a:lnTo>
                  <a:pt x="3062" y="2322"/>
                </a:lnTo>
                <a:lnTo>
                  <a:pt x="2772" y="2379"/>
                </a:lnTo>
                <a:lnTo>
                  <a:pt x="2839" y="2666"/>
                </a:lnTo>
                <a:lnTo>
                  <a:pt x="2841" y="2684"/>
                </a:lnTo>
                <a:lnTo>
                  <a:pt x="2839" y="2702"/>
                </a:lnTo>
                <a:lnTo>
                  <a:pt x="2832" y="2718"/>
                </a:lnTo>
                <a:lnTo>
                  <a:pt x="2822" y="2733"/>
                </a:lnTo>
                <a:lnTo>
                  <a:pt x="2808" y="2744"/>
                </a:lnTo>
                <a:lnTo>
                  <a:pt x="2792" y="2752"/>
                </a:lnTo>
                <a:lnTo>
                  <a:pt x="2774" y="2756"/>
                </a:lnTo>
                <a:lnTo>
                  <a:pt x="2757" y="2756"/>
                </a:lnTo>
                <a:lnTo>
                  <a:pt x="2472" y="2714"/>
                </a:lnTo>
                <a:lnTo>
                  <a:pt x="2438" y="3001"/>
                </a:lnTo>
                <a:lnTo>
                  <a:pt x="2433" y="3018"/>
                </a:lnTo>
                <a:lnTo>
                  <a:pt x="2425" y="3034"/>
                </a:lnTo>
                <a:lnTo>
                  <a:pt x="2414" y="3047"/>
                </a:lnTo>
                <a:lnTo>
                  <a:pt x="2399" y="3057"/>
                </a:lnTo>
                <a:lnTo>
                  <a:pt x="2383" y="3064"/>
                </a:lnTo>
                <a:lnTo>
                  <a:pt x="2365" y="3066"/>
                </a:lnTo>
                <a:lnTo>
                  <a:pt x="2348" y="3064"/>
                </a:lnTo>
                <a:lnTo>
                  <a:pt x="2331" y="3058"/>
                </a:lnTo>
                <a:lnTo>
                  <a:pt x="2067" y="2926"/>
                </a:lnTo>
                <a:lnTo>
                  <a:pt x="1947" y="3187"/>
                </a:lnTo>
                <a:lnTo>
                  <a:pt x="1938" y="3203"/>
                </a:lnTo>
                <a:lnTo>
                  <a:pt x="1925" y="3215"/>
                </a:lnTo>
                <a:lnTo>
                  <a:pt x="1909" y="3225"/>
                </a:lnTo>
                <a:lnTo>
                  <a:pt x="1892" y="3230"/>
                </a:lnTo>
                <a:lnTo>
                  <a:pt x="1886" y="3230"/>
                </a:lnTo>
                <a:lnTo>
                  <a:pt x="1880" y="3231"/>
                </a:lnTo>
                <a:lnTo>
                  <a:pt x="1860" y="3228"/>
                </a:lnTo>
                <a:lnTo>
                  <a:pt x="1842" y="3220"/>
                </a:lnTo>
                <a:lnTo>
                  <a:pt x="1827" y="3207"/>
                </a:lnTo>
                <a:lnTo>
                  <a:pt x="1625" y="2997"/>
                </a:lnTo>
                <a:lnTo>
                  <a:pt x="1419" y="3208"/>
                </a:lnTo>
                <a:lnTo>
                  <a:pt x="1405" y="3220"/>
                </a:lnTo>
                <a:lnTo>
                  <a:pt x="1389" y="3227"/>
                </a:lnTo>
                <a:lnTo>
                  <a:pt x="1371" y="3231"/>
                </a:lnTo>
                <a:lnTo>
                  <a:pt x="1354" y="3229"/>
                </a:lnTo>
                <a:lnTo>
                  <a:pt x="1337" y="3224"/>
                </a:lnTo>
                <a:lnTo>
                  <a:pt x="1321" y="3215"/>
                </a:lnTo>
                <a:lnTo>
                  <a:pt x="1309" y="3203"/>
                </a:lnTo>
                <a:lnTo>
                  <a:pt x="1299" y="3188"/>
                </a:lnTo>
                <a:lnTo>
                  <a:pt x="1176" y="2926"/>
                </a:lnTo>
                <a:lnTo>
                  <a:pt x="916" y="3058"/>
                </a:lnTo>
                <a:lnTo>
                  <a:pt x="899" y="3064"/>
                </a:lnTo>
                <a:lnTo>
                  <a:pt x="881" y="3066"/>
                </a:lnTo>
                <a:lnTo>
                  <a:pt x="864" y="3064"/>
                </a:lnTo>
                <a:lnTo>
                  <a:pt x="847" y="3057"/>
                </a:lnTo>
                <a:lnTo>
                  <a:pt x="832" y="3047"/>
                </a:lnTo>
                <a:lnTo>
                  <a:pt x="821" y="3033"/>
                </a:lnTo>
                <a:lnTo>
                  <a:pt x="813" y="3018"/>
                </a:lnTo>
                <a:lnTo>
                  <a:pt x="809" y="3000"/>
                </a:lnTo>
                <a:lnTo>
                  <a:pt x="779" y="2714"/>
                </a:lnTo>
                <a:lnTo>
                  <a:pt x="495" y="2756"/>
                </a:lnTo>
                <a:lnTo>
                  <a:pt x="476" y="2756"/>
                </a:lnTo>
                <a:lnTo>
                  <a:pt x="459" y="2752"/>
                </a:lnTo>
                <a:lnTo>
                  <a:pt x="443" y="2744"/>
                </a:lnTo>
                <a:lnTo>
                  <a:pt x="429" y="2733"/>
                </a:lnTo>
                <a:lnTo>
                  <a:pt x="419" y="2718"/>
                </a:lnTo>
                <a:lnTo>
                  <a:pt x="412" y="2702"/>
                </a:lnTo>
                <a:lnTo>
                  <a:pt x="410" y="2684"/>
                </a:lnTo>
                <a:lnTo>
                  <a:pt x="412" y="2666"/>
                </a:lnTo>
                <a:lnTo>
                  <a:pt x="479" y="2379"/>
                </a:lnTo>
                <a:lnTo>
                  <a:pt x="184" y="2322"/>
                </a:lnTo>
                <a:lnTo>
                  <a:pt x="167" y="2316"/>
                </a:lnTo>
                <a:lnTo>
                  <a:pt x="152" y="2307"/>
                </a:lnTo>
                <a:lnTo>
                  <a:pt x="140" y="2294"/>
                </a:lnTo>
                <a:lnTo>
                  <a:pt x="131" y="2279"/>
                </a:lnTo>
                <a:lnTo>
                  <a:pt x="126" y="2261"/>
                </a:lnTo>
                <a:lnTo>
                  <a:pt x="125" y="2244"/>
                </a:lnTo>
                <a:lnTo>
                  <a:pt x="128" y="2226"/>
                </a:lnTo>
                <a:lnTo>
                  <a:pt x="136" y="2209"/>
                </a:lnTo>
                <a:lnTo>
                  <a:pt x="292" y="1957"/>
                </a:lnTo>
                <a:lnTo>
                  <a:pt x="39" y="1820"/>
                </a:lnTo>
                <a:lnTo>
                  <a:pt x="24" y="1810"/>
                </a:lnTo>
                <a:lnTo>
                  <a:pt x="12" y="1796"/>
                </a:lnTo>
                <a:lnTo>
                  <a:pt x="4" y="1780"/>
                </a:lnTo>
                <a:lnTo>
                  <a:pt x="0" y="1762"/>
                </a:lnTo>
                <a:lnTo>
                  <a:pt x="1" y="1744"/>
                </a:lnTo>
                <a:lnTo>
                  <a:pt x="6" y="1727"/>
                </a:lnTo>
                <a:lnTo>
                  <a:pt x="15" y="1711"/>
                </a:lnTo>
                <a:lnTo>
                  <a:pt x="27" y="1698"/>
                </a:lnTo>
                <a:lnTo>
                  <a:pt x="258" y="1506"/>
                </a:lnTo>
                <a:lnTo>
                  <a:pt x="64" y="1296"/>
                </a:lnTo>
                <a:lnTo>
                  <a:pt x="54" y="1281"/>
                </a:lnTo>
                <a:lnTo>
                  <a:pt x="47" y="1265"/>
                </a:lnTo>
                <a:lnTo>
                  <a:pt x="45" y="1247"/>
                </a:lnTo>
                <a:lnTo>
                  <a:pt x="47" y="1229"/>
                </a:lnTo>
                <a:lnTo>
                  <a:pt x="53" y="1212"/>
                </a:lnTo>
                <a:lnTo>
                  <a:pt x="63" y="1197"/>
                </a:lnTo>
                <a:lnTo>
                  <a:pt x="77" y="1186"/>
                </a:lnTo>
                <a:lnTo>
                  <a:pt x="93" y="1177"/>
                </a:lnTo>
                <a:lnTo>
                  <a:pt x="365" y="1074"/>
                </a:lnTo>
                <a:lnTo>
                  <a:pt x="255" y="810"/>
                </a:lnTo>
                <a:lnTo>
                  <a:pt x="250" y="793"/>
                </a:lnTo>
                <a:lnTo>
                  <a:pt x="250" y="775"/>
                </a:lnTo>
                <a:lnTo>
                  <a:pt x="253" y="758"/>
                </a:lnTo>
                <a:lnTo>
                  <a:pt x="261" y="742"/>
                </a:lnTo>
                <a:lnTo>
                  <a:pt x="273" y="728"/>
                </a:lnTo>
                <a:lnTo>
                  <a:pt x="287" y="718"/>
                </a:lnTo>
                <a:lnTo>
                  <a:pt x="303" y="711"/>
                </a:lnTo>
                <a:lnTo>
                  <a:pt x="321" y="708"/>
                </a:lnTo>
                <a:lnTo>
                  <a:pt x="613" y="702"/>
                </a:lnTo>
                <a:lnTo>
                  <a:pt x="599" y="407"/>
                </a:lnTo>
                <a:lnTo>
                  <a:pt x="601" y="389"/>
                </a:lnTo>
                <a:lnTo>
                  <a:pt x="606" y="373"/>
                </a:lnTo>
                <a:lnTo>
                  <a:pt x="615" y="358"/>
                </a:lnTo>
                <a:lnTo>
                  <a:pt x="628" y="345"/>
                </a:lnTo>
                <a:lnTo>
                  <a:pt x="643" y="336"/>
                </a:lnTo>
                <a:lnTo>
                  <a:pt x="660" y="331"/>
                </a:lnTo>
                <a:lnTo>
                  <a:pt x="678" y="330"/>
                </a:lnTo>
                <a:lnTo>
                  <a:pt x="695" y="333"/>
                </a:lnTo>
                <a:lnTo>
                  <a:pt x="971" y="420"/>
                </a:lnTo>
                <a:lnTo>
                  <a:pt x="1046" y="140"/>
                </a:lnTo>
                <a:lnTo>
                  <a:pt x="1053" y="123"/>
                </a:lnTo>
                <a:lnTo>
                  <a:pt x="1063" y="108"/>
                </a:lnTo>
                <a:lnTo>
                  <a:pt x="1076" y="97"/>
                </a:lnTo>
                <a:lnTo>
                  <a:pt x="1093" y="89"/>
                </a:lnTo>
                <a:lnTo>
                  <a:pt x="1110" y="85"/>
                </a:lnTo>
                <a:lnTo>
                  <a:pt x="1128" y="85"/>
                </a:lnTo>
                <a:lnTo>
                  <a:pt x="1145" y="90"/>
                </a:lnTo>
                <a:lnTo>
                  <a:pt x="1161" y="99"/>
                </a:lnTo>
                <a:lnTo>
                  <a:pt x="1397" y="272"/>
                </a:lnTo>
                <a:lnTo>
                  <a:pt x="1565" y="32"/>
                </a:lnTo>
                <a:lnTo>
                  <a:pt x="1577" y="19"/>
                </a:lnTo>
                <a:lnTo>
                  <a:pt x="1590" y="10"/>
                </a:lnTo>
                <a:lnTo>
                  <a:pt x="1607" y="4"/>
                </a:lnTo>
                <a:lnTo>
                  <a:pt x="1626" y="0"/>
                </a:lnTo>
                <a:close/>
              </a:path>
            </a:pathLst>
          </a:custGeom>
          <a:solidFill>
            <a:srgbClr val="FFFFFF"/>
          </a:solidFill>
          <a:ln w="0">
            <a:noFill/>
            <a:prstDash val="solid"/>
            <a:round/>
            <a:headEnd/>
            <a:tailEnd/>
          </a:ln>
        </xdr:spPr>
      </xdr:sp>
      <xdr:sp macro="" textlink="">
        <xdr:nvSpPr>
          <xdr:cNvPr id="5" name="Forma Livre 44"/>
          <xdr:cNvSpPr>
            <a:spLocks/>
          </xdr:cNvSpPr>
        </xdr:nvSpPr>
        <xdr:spPr bwMode="auto">
          <a:xfrm>
            <a:off x="451" y="840"/>
            <a:ext cx="25" cy="6"/>
          </a:xfrm>
          <a:custGeom>
            <a:avLst/>
            <a:gdLst>
              <a:gd name="T0" fmla="*/ 70 w 1528"/>
              <a:gd name="T1" fmla="*/ 0 h 357"/>
              <a:gd name="T2" fmla="*/ 1455 w 1528"/>
              <a:gd name="T3" fmla="*/ 0 h 357"/>
              <a:gd name="T4" fmla="*/ 1471 w 1528"/>
              <a:gd name="T5" fmla="*/ 3 h 357"/>
              <a:gd name="T6" fmla="*/ 1485 w 1528"/>
              <a:gd name="T7" fmla="*/ 11 h 357"/>
              <a:gd name="T8" fmla="*/ 1497 w 1528"/>
              <a:gd name="T9" fmla="*/ 24 h 357"/>
              <a:gd name="T10" fmla="*/ 1508 w 1528"/>
              <a:gd name="T11" fmla="*/ 43 h 357"/>
              <a:gd name="T12" fmla="*/ 1515 w 1528"/>
              <a:gd name="T13" fmla="*/ 62 h 357"/>
              <a:gd name="T14" fmla="*/ 1521 w 1528"/>
              <a:gd name="T15" fmla="*/ 85 h 357"/>
              <a:gd name="T16" fmla="*/ 1525 w 1528"/>
              <a:gd name="T17" fmla="*/ 114 h 357"/>
              <a:gd name="T18" fmla="*/ 1527 w 1528"/>
              <a:gd name="T19" fmla="*/ 146 h 357"/>
              <a:gd name="T20" fmla="*/ 1528 w 1528"/>
              <a:gd name="T21" fmla="*/ 182 h 357"/>
              <a:gd name="T22" fmla="*/ 1527 w 1528"/>
              <a:gd name="T23" fmla="*/ 218 h 357"/>
              <a:gd name="T24" fmla="*/ 1524 w 1528"/>
              <a:gd name="T25" fmla="*/ 250 h 357"/>
              <a:gd name="T26" fmla="*/ 1520 w 1528"/>
              <a:gd name="T27" fmla="*/ 278 h 357"/>
              <a:gd name="T28" fmla="*/ 1513 w 1528"/>
              <a:gd name="T29" fmla="*/ 300 h 357"/>
              <a:gd name="T30" fmla="*/ 1504 w 1528"/>
              <a:gd name="T31" fmla="*/ 318 h 357"/>
              <a:gd name="T32" fmla="*/ 1492 w 1528"/>
              <a:gd name="T33" fmla="*/ 335 h 357"/>
              <a:gd name="T34" fmla="*/ 1480 w 1528"/>
              <a:gd name="T35" fmla="*/ 347 h 357"/>
              <a:gd name="T36" fmla="*/ 1467 w 1528"/>
              <a:gd name="T37" fmla="*/ 354 h 357"/>
              <a:gd name="T38" fmla="*/ 1452 w 1528"/>
              <a:gd name="T39" fmla="*/ 357 h 357"/>
              <a:gd name="T40" fmla="*/ 73 w 1528"/>
              <a:gd name="T41" fmla="*/ 357 h 357"/>
              <a:gd name="T42" fmla="*/ 59 w 1528"/>
              <a:gd name="T43" fmla="*/ 354 h 357"/>
              <a:gd name="T44" fmla="*/ 46 w 1528"/>
              <a:gd name="T45" fmla="*/ 347 h 357"/>
              <a:gd name="T46" fmla="*/ 34 w 1528"/>
              <a:gd name="T47" fmla="*/ 335 h 357"/>
              <a:gd name="T48" fmla="*/ 23 w 1528"/>
              <a:gd name="T49" fmla="*/ 318 h 357"/>
              <a:gd name="T50" fmla="*/ 15 w 1528"/>
              <a:gd name="T51" fmla="*/ 300 h 357"/>
              <a:gd name="T52" fmla="*/ 8 w 1528"/>
              <a:gd name="T53" fmla="*/ 278 h 357"/>
              <a:gd name="T54" fmla="*/ 4 w 1528"/>
              <a:gd name="T55" fmla="*/ 250 h 357"/>
              <a:gd name="T56" fmla="*/ 1 w 1528"/>
              <a:gd name="T57" fmla="*/ 218 h 357"/>
              <a:gd name="T58" fmla="*/ 0 w 1528"/>
              <a:gd name="T59" fmla="*/ 182 h 357"/>
              <a:gd name="T60" fmla="*/ 1 w 1528"/>
              <a:gd name="T61" fmla="*/ 146 h 357"/>
              <a:gd name="T62" fmla="*/ 3 w 1528"/>
              <a:gd name="T63" fmla="*/ 114 h 357"/>
              <a:gd name="T64" fmla="*/ 7 w 1528"/>
              <a:gd name="T65" fmla="*/ 85 h 357"/>
              <a:gd name="T66" fmla="*/ 12 w 1528"/>
              <a:gd name="T67" fmla="*/ 62 h 357"/>
              <a:gd name="T68" fmla="*/ 19 w 1528"/>
              <a:gd name="T69" fmla="*/ 43 h 357"/>
              <a:gd name="T70" fmla="*/ 29 w 1528"/>
              <a:gd name="T71" fmla="*/ 24 h 357"/>
              <a:gd name="T72" fmla="*/ 41 w 1528"/>
              <a:gd name="T73" fmla="*/ 11 h 357"/>
              <a:gd name="T74" fmla="*/ 55 w 1528"/>
              <a:gd name="T75" fmla="*/ 3 h 357"/>
              <a:gd name="T76" fmla="*/ 70 w 1528"/>
              <a:gd name="T77" fmla="*/ 0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528" h="357">
                <a:moveTo>
                  <a:pt x="70" y="0"/>
                </a:moveTo>
                <a:lnTo>
                  <a:pt x="1455" y="0"/>
                </a:lnTo>
                <a:lnTo>
                  <a:pt x="1471" y="3"/>
                </a:lnTo>
                <a:lnTo>
                  <a:pt x="1485" y="11"/>
                </a:lnTo>
                <a:lnTo>
                  <a:pt x="1497" y="24"/>
                </a:lnTo>
                <a:lnTo>
                  <a:pt x="1508" y="43"/>
                </a:lnTo>
                <a:lnTo>
                  <a:pt x="1515" y="62"/>
                </a:lnTo>
                <a:lnTo>
                  <a:pt x="1521" y="85"/>
                </a:lnTo>
                <a:lnTo>
                  <a:pt x="1525" y="114"/>
                </a:lnTo>
                <a:lnTo>
                  <a:pt x="1527" y="146"/>
                </a:lnTo>
                <a:lnTo>
                  <a:pt x="1528" y="182"/>
                </a:lnTo>
                <a:lnTo>
                  <a:pt x="1527" y="218"/>
                </a:lnTo>
                <a:lnTo>
                  <a:pt x="1524" y="250"/>
                </a:lnTo>
                <a:lnTo>
                  <a:pt x="1520" y="278"/>
                </a:lnTo>
                <a:lnTo>
                  <a:pt x="1513" y="300"/>
                </a:lnTo>
                <a:lnTo>
                  <a:pt x="1504" y="318"/>
                </a:lnTo>
                <a:lnTo>
                  <a:pt x="1492" y="335"/>
                </a:lnTo>
                <a:lnTo>
                  <a:pt x="1480" y="347"/>
                </a:lnTo>
                <a:lnTo>
                  <a:pt x="1467" y="354"/>
                </a:lnTo>
                <a:lnTo>
                  <a:pt x="1452" y="357"/>
                </a:lnTo>
                <a:lnTo>
                  <a:pt x="73" y="357"/>
                </a:lnTo>
                <a:lnTo>
                  <a:pt x="59" y="354"/>
                </a:lnTo>
                <a:lnTo>
                  <a:pt x="46" y="347"/>
                </a:lnTo>
                <a:lnTo>
                  <a:pt x="34" y="335"/>
                </a:lnTo>
                <a:lnTo>
                  <a:pt x="23" y="318"/>
                </a:lnTo>
                <a:lnTo>
                  <a:pt x="15" y="300"/>
                </a:lnTo>
                <a:lnTo>
                  <a:pt x="8" y="278"/>
                </a:lnTo>
                <a:lnTo>
                  <a:pt x="4" y="250"/>
                </a:lnTo>
                <a:lnTo>
                  <a:pt x="1" y="218"/>
                </a:lnTo>
                <a:lnTo>
                  <a:pt x="0" y="182"/>
                </a:lnTo>
                <a:lnTo>
                  <a:pt x="1" y="146"/>
                </a:lnTo>
                <a:lnTo>
                  <a:pt x="3" y="114"/>
                </a:lnTo>
                <a:lnTo>
                  <a:pt x="7" y="85"/>
                </a:lnTo>
                <a:lnTo>
                  <a:pt x="12" y="62"/>
                </a:lnTo>
                <a:lnTo>
                  <a:pt x="19" y="43"/>
                </a:lnTo>
                <a:lnTo>
                  <a:pt x="29" y="24"/>
                </a:lnTo>
                <a:lnTo>
                  <a:pt x="41" y="11"/>
                </a:lnTo>
                <a:lnTo>
                  <a:pt x="55" y="3"/>
                </a:lnTo>
                <a:lnTo>
                  <a:pt x="70" y="0"/>
                </a:lnTo>
                <a:close/>
              </a:path>
            </a:pathLst>
          </a:custGeom>
          <a:solidFill>
            <a:schemeClr val="tx2"/>
          </a:solidFill>
          <a:ln w="0">
            <a:noFill/>
            <a:prstDash val="solid"/>
            <a:round/>
            <a:headEnd/>
            <a:tailEnd/>
          </a:ln>
        </xdr:spPr>
      </xdr:sp>
    </xdr:grpSp>
    <xdr:clientData/>
  </xdr:twoCellAnchor>
  <xdr:twoCellAnchor>
    <xdr:from>
      <xdr:col>0</xdr:col>
      <xdr:colOff>247656</xdr:colOff>
      <xdr:row>0</xdr:row>
      <xdr:rowOff>361956</xdr:rowOff>
    </xdr:from>
    <xdr:to>
      <xdr:col>1</xdr:col>
      <xdr:colOff>197745</xdr:colOff>
      <xdr:row>2</xdr:row>
      <xdr:rowOff>45345</xdr:rowOff>
    </xdr:to>
    <xdr:grpSp>
      <xdr:nvGrpSpPr>
        <xdr:cNvPr id="6" name="Ícone de Renda" descr="&quot;&quot;" title="Ícone de Renda"/>
        <xdr:cNvGrpSpPr>
          <a:grpSpLocks noChangeAspect="1"/>
        </xdr:cNvGrpSpPr>
      </xdr:nvGrpSpPr>
      <xdr:grpSpPr bwMode="auto">
        <a:xfrm>
          <a:off x="247656" y="361956"/>
          <a:ext cx="397764" cy="397764"/>
          <a:chOff x="417" y="815"/>
          <a:chExt cx="56" cy="56"/>
        </a:xfrm>
      </xdr:grpSpPr>
      <xdr:sp macro="" textlink="">
        <xdr:nvSpPr>
          <xdr:cNvPr id="7" name="Retângulo 48"/>
          <xdr:cNvSpPr>
            <a:spLocks noChangeArrowheads="1"/>
          </xdr:cNvSpPr>
        </xdr:nvSpPr>
        <xdr:spPr bwMode="auto">
          <a:xfrm>
            <a:off x="417" y="815"/>
            <a:ext cx="56" cy="5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Forma Livre 49"/>
          <xdr:cNvSpPr>
            <a:spLocks/>
          </xdr:cNvSpPr>
        </xdr:nvSpPr>
        <xdr:spPr bwMode="auto">
          <a:xfrm>
            <a:off x="417" y="816"/>
            <a:ext cx="55" cy="55"/>
          </a:xfrm>
          <a:custGeom>
            <a:avLst/>
            <a:gdLst>
              <a:gd name="T0" fmla="*/ 1676 w 3245"/>
              <a:gd name="T1" fmla="*/ 19 h 3231"/>
              <a:gd name="T2" fmla="*/ 2102 w 3245"/>
              <a:gd name="T3" fmla="*/ 90 h 3231"/>
              <a:gd name="T4" fmla="*/ 2170 w 3245"/>
              <a:gd name="T5" fmla="*/ 96 h 3231"/>
              <a:gd name="T6" fmla="*/ 2278 w 3245"/>
              <a:gd name="T7" fmla="*/ 421 h 3231"/>
              <a:gd name="T8" fmla="*/ 2608 w 3245"/>
              <a:gd name="T9" fmla="*/ 337 h 3231"/>
              <a:gd name="T10" fmla="*/ 2651 w 3245"/>
              <a:gd name="T11" fmla="*/ 391 h 3231"/>
              <a:gd name="T12" fmla="*/ 2941 w 3245"/>
              <a:gd name="T13" fmla="*/ 711 h 3231"/>
              <a:gd name="T14" fmla="*/ 2993 w 3245"/>
              <a:gd name="T15" fmla="*/ 758 h 3231"/>
              <a:gd name="T16" fmla="*/ 2879 w 3245"/>
              <a:gd name="T17" fmla="*/ 1074 h 3231"/>
              <a:gd name="T18" fmla="*/ 3192 w 3245"/>
              <a:gd name="T19" fmla="*/ 1212 h 3231"/>
              <a:gd name="T20" fmla="*/ 3192 w 3245"/>
              <a:gd name="T21" fmla="*/ 1280 h 3231"/>
              <a:gd name="T22" fmla="*/ 3232 w 3245"/>
              <a:gd name="T23" fmla="*/ 1712 h 3231"/>
              <a:gd name="T24" fmla="*/ 3241 w 3245"/>
              <a:gd name="T25" fmla="*/ 1780 h 3231"/>
              <a:gd name="T26" fmla="*/ 2950 w 3245"/>
              <a:gd name="T27" fmla="*/ 1957 h 3231"/>
              <a:gd name="T28" fmla="*/ 3120 w 3245"/>
              <a:gd name="T29" fmla="*/ 2261 h 3231"/>
              <a:gd name="T30" fmla="*/ 3079 w 3245"/>
              <a:gd name="T31" fmla="*/ 2316 h 3231"/>
              <a:gd name="T32" fmla="*/ 2841 w 3245"/>
              <a:gd name="T33" fmla="*/ 2684 h 3231"/>
              <a:gd name="T34" fmla="*/ 2808 w 3245"/>
              <a:gd name="T35" fmla="*/ 2744 h 3231"/>
              <a:gd name="T36" fmla="*/ 2472 w 3245"/>
              <a:gd name="T37" fmla="*/ 2714 h 3231"/>
              <a:gd name="T38" fmla="*/ 2414 w 3245"/>
              <a:gd name="T39" fmla="*/ 3047 h 3231"/>
              <a:gd name="T40" fmla="*/ 2348 w 3245"/>
              <a:gd name="T41" fmla="*/ 3064 h 3231"/>
              <a:gd name="T42" fmla="*/ 1938 w 3245"/>
              <a:gd name="T43" fmla="*/ 3203 h 3231"/>
              <a:gd name="T44" fmla="*/ 1886 w 3245"/>
              <a:gd name="T45" fmla="*/ 3230 h 3231"/>
              <a:gd name="T46" fmla="*/ 1827 w 3245"/>
              <a:gd name="T47" fmla="*/ 3207 h 3231"/>
              <a:gd name="T48" fmla="*/ 1389 w 3245"/>
              <a:gd name="T49" fmla="*/ 3227 h 3231"/>
              <a:gd name="T50" fmla="*/ 1321 w 3245"/>
              <a:gd name="T51" fmla="*/ 3215 h 3231"/>
              <a:gd name="T52" fmla="*/ 916 w 3245"/>
              <a:gd name="T53" fmla="*/ 3058 h 3231"/>
              <a:gd name="T54" fmla="*/ 847 w 3245"/>
              <a:gd name="T55" fmla="*/ 3057 h 3231"/>
              <a:gd name="T56" fmla="*/ 809 w 3245"/>
              <a:gd name="T57" fmla="*/ 3000 h 3231"/>
              <a:gd name="T58" fmla="*/ 459 w 3245"/>
              <a:gd name="T59" fmla="*/ 2752 h 3231"/>
              <a:gd name="T60" fmla="*/ 412 w 3245"/>
              <a:gd name="T61" fmla="*/ 2702 h 3231"/>
              <a:gd name="T62" fmla="*/ 184 w 3245"/>
              <a:gd name="T63" fmla="*/ 2322 h 3231"/>
              <a:gd name="T64" fmla="*/ 131 w 3245"/>
              <a:gd name="T65" fmla="*/ 2279 h 3231"/>
              <a:gd name="T66" fmla="*/ 136 w 3245"/>
              <a:gd name="T67" fmla="*/ 2209 h 3231"/>
              <a:gd name="T68" fmla="*/ 12 w 3245"/>
              <a:gd name="T69" fmla="*/ 1796 h 3231"/>
              <a:gd name="T70" fmla="*/ 6 w 3245"/>
              <a:gd name="T71" fmla="*/ 1727 h 3231"/>
              <a:gd name="T72" fmla="*/ 64 w 3245"/>
              <a:gd name="T73" fmla="*/ 1296 h 3231"/>
              <a:gd name="T74" fmla="*/ 47 w 3245"/>
              <a:gd name="T75" fmla="*/ 1229 h 3231"/>
              <a:gd name="T76" fmla="*/ 93 w 3245"/>
              <a:gd name="T77" fmla="*/ 1177 h 3231"/>
              <a:gd name="T78" fmla="*/ 250 w 3245"/>
              <a:gd name="T79" fmla="*/ 775 h 3231"/>
              <a:gd name="T80" fmla="*/ 287 w 3245"/>
              <a:gd name="T81" fmla="*/ 718 h 3231"/>
              <a:gd name="T82" fmla="*/ 599 w 3245"/>
              <a:gd name="T83" fmla="*/ 407 h 3231"/>
              <a:gd name="T84" fmla="*/ 628 w 3245"/>
              <a:gd name="T85" fmla="*/ 345 h 3231"/>
              <a:gd name="T86" fmla="*/ 695 w 3245"/>
              <a:gd name="T87" fmla="*/ 333 h 3231"/>
              <a:gd name="T88" fmla="*/ 1063 w 3245"/>
              <a:gd name="T89" fmla="*/ 108 h 3231"/>
              <a:gd name="T90" fmla="*/ 1128 w 3245"/>
              <a:gd name="T91" fmla="*/ 85 h 3231"/>
              <a:gd name="T92" fmla="*/ 1565 w 3245"/>
              <a:gd name="T93" fmla="*/ 32 h 3231"/>
              <a:gd name="T94" fmla="*/ 1626 w 3245"/>
              <a:gd name="T95" fmla="*/ 0 h 3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45" h="3231">
                <a:moveTo>
                  <a:pt x="1626" y="0"/>
                </a:moveTo>
                <a:lnTo>
                  <a:pt x="1644" y="3"/>
                </a:lnTo>
                <a:lnTo>
                  <a:pt x="1661" y="9"/>
                </a:lnTo>
                <a:lnTo>
                  <a:pt x="1676" y="19"/>
                </a:lnTo>
                <a:lnTo>
                  <a:pt x="1688" y="33"/>
                </a:lnTo>
                <a:lnTo>
                  <a:pt x="1847" y="272"/>
                </a:lnTo>
                <a:lnTo>
                  <a:pt x="2086" y="98"/>
                </a:lnTo>
                <a:lnTo>
                  <a:pt x="2102" y="90"/>
                </a:lnTo>
                <a:lnTo>
                  <a:pt x="2119" y="85"/>
                </a:lnTo>
                <a:lnTo>
                  <a:pt x="2136" y="85"/>
                </a:lnTo>
                <a:lnTo>
                  <a:pt x="2154" y="89"/>
                </a:lnTo>
                <a:lnTo>
                  <a:pt x="2170" y="96"/>
                </a:lnTo>
                <a:lnTo>
                  <a:pt x="2183" y="108"/>
                </a:lnTo>
                <a:lnTo>
                  <a:pt x="2193" y="122"/>
                </a:lnTo>
                <a:lnTo>
                  <a:pt x="2200" y="139"/>
                </a:lnTo>
                <a:lnTo>
                  <a:pt x="2278" y="421"/>
                </a:lnTo>
                <a:lnTo>
                  <a:pt x="2556" y="333"/>
                </a:lnTo>
                <a:lnTo>
                  <a:pt x="2574" y="330"/>
                </a:lnTo>
                <a:lnTo>
                  <a:pt x="2591" y="331"/>
                </a:lnTo>
                <a:lnTo>
                  <a:pt x="2608" y="337"/>
                </a:lnTo>
                <a:lnTo>
                  <a:pt x="2624" y="346"/>
                </a:lnTo>
                <a:lnTo>
                  <a:pt x="2637" y="359"/>
                </a:lnTo>
                <a:lnTo>
                  <a:pt x="2646" y="374"/>
                </a:lnTo>
                <a:lnTo>
                  <a:pt x="2651" y="391"/>
                </a:lnTo>
                <a:lnTo>
                  <a:pt x="2652" y="409"/>
                </a:lnTo>
                <a:lnTo>
                  <a:pt x="2632" y="702"/>
                </a:lnTo>
                <a:lnTo>
                  <a:pt x="2924" y="708"/>
                </a:lnTo>
                <a:lnTo>
                  <a:pt x="2941" y="711"/>
                </a:lnTo>
                <a:lnTo>
                  <a:pt x="2958" y="718"/>
                </a:lnTo>
                <a:lnTo>
                  <a:pt x="2972" y="728"/>
                </a:lnTo>
                <a:lnTo>
                  <a:pt x="2985" y="742"/>
                </a:lnTo>
                <a:lnTo>
                  <a:pt x="2993" y="758"/>
                </a:lnTo>
                <a:lnTo>
                  <a:pt x="2996" y="776"/>
                </a:lnTo>
                <a:lnTo>
                  <a:pt x="2996" y="793"/>
                </a:lnTo>
                <a:lnTo>
                  <a:pt x="2991" y="811"/>
                </a:lnTo>
                <a:lnTo>
                  <a:pt x="2879" y="1074"/>
                </a:lnTo>
                <a:lnTo>
                  <a:pt x="3153" y="1177"/>
                </a:lnTo>
                <a:lnTo>
                  <a:pt x="3169" y="1185"/>
                </a:lnTo>
                <a:lnTo>
                  <a:pt x="3182" y="1197"/>
                </a:lnTo>
                <a:lnTo>
                  <a:pt x="3192" y="1212"/>
                </a:lnTo>
                <a:lnTo>
                  <a:pt x="3199" y="1229"/>
                </a:lnTo>
                <a:lnTo>
                  <a:pt x="3201" y="1246"/>
                </a:lnTo>
                <a:lnTo>
                  <a:pt x="3199" y="1264"/>
                </a:lnTo>
                <a:lnTo>
                  <a:pt x="3192" y="1280"/>
                </a:lnTo>
                <a:lnTo>
                  <a:pt x="3182" y="1295"/>
                </a:lnTo>
                <a:lnTo>
                  <a:pt x="2993" y="1506"/>
                </a:lnTo>
                <a:lnTo>
                  <a:pt x="3220" y="1699"/>
                </a:lnTo>
                <a:lnTo>
                  <a:pt x="3232" y="1712"/>
                </a:lnTo>
                <a:lnTo>
                  <a:pt x="3241" y="1727"/>
                </a:lnTo>
                <a:lnTo>
                  <a:pt x="3245" y="1745"/>
                </a:lnTo>
                <a:lnTo>
                  <a:pt x="3245" y="1763"/>
                </a:lnTo>
                <a:lnTo>
                  <a:pt x="3241" y="1780"/>
                </a:lnTo>
                <a:lnTo>
                  <a:pt x="3233" y="1796"/>
                </a:lnTo>
                <a:lnTo>
                  <a:pt x="3222" y="1810"/>
                </a:lnTo>
                <a:lnTo>
                  <a:pt x="3207" y="1820"/>
                </a:lnTo>
                <a:lnTo>
                  <a:pt x="2950" y="1957"/>
                </a:lnTo>
                <a:lnTo>
                  <a:pt x="3110" y="2209"/>
                </a:lnTo>
                <a:lnTo>
                  <a:pt x="3117" y="2225"/>
                </a:lnTo>
                <a:lnTo>
                  <a:pt x="3121" y="2244"/>
                </a:lnTo>
                <a:lnTo>
                  <a:pt x="3120" y="2261"/>
                </a:lnTo>
                <a:lnTo>
                  <a:pt x="3115" y="2278"/>
                </a:lnTo>
                <a:lnTo>
                  <a:pt x="3106" y="2294"/>
                </a:lnTo>
                <a:lnTo>
                  <a:pt x="3094" y="2307"/>
                </a:lnTo>
                <a:lnTo>
                  <a:pt x="3079" y="2316"/>
                </a:lnTo>
                <a:lnTo>
                  <a:pt x="3062" y="2322"/>
                </a:lnTo>
                <a:lnTo>
                  <a:pt x="2772" y="2379"/>
                </a:lnTo>
                <a:lnTo>
                  <a:pt x="2839" y="2666"/>
                </a:lnTo>
                <a:lnTo>
                  <a:pt x="2841" y="2684"/>
                </a:lnTo>
                <a:lnTo>
                  <a:pt x="2839" y="2702"/>
                </a:lnTo>
                <a:lnTo>
                  <a:pt x="2832" y="2718"/>
                </a:lnTo>
                <a:lnTo>
                  <a:pt x="2822" y="2733"/>
                </a:lnTo>
                <a:lnTo>
                  <a:pt x="2808" y="2744"/>
                </a:lnTo>
                <a:lnTo>
                  <a:pt x="2792" y="2752"/>
                </a:lnTo>
                <a:lnTo>
                  <a:pt x="2774" y="2756"/>
                </a:lnTo>
                <a:lnTo>
                  <a:pt x="2757" y="2756"/>
                </a:lnTo>
                <a:lnTo>
                  <a:pt x="2472" y="2714"/>
                </a:lnTo>
                <a:lnTo>
                  <a:pt x="2438" y="3001"/>
                </a:lnTo>
                <a:lnTo>
                  <a:pt x="2433" y="3018"/>
                </a:lnTo>
                <a:lnTo>
                  <a:pt x="2425" y="3034"/>
                </a:lnTo>
                <a:lnTo>
                  <a:pt x="2414" y="3047"/>
                </a:lnTo>
                <a:lnTo>
                  <a:pt x="2399" y="3057"/>
                </a:lnTo>
                <a:lnTo>
                  <a:pt x="2383" y="3064"/>
                </a:lnTo>
                <a:lnTo>
                  <a:pt x="2365" y="3066"/>
                </a:lnTo>
                <a:lnTo>
                  <a:pt x="2348" y="3064"/>
                </a:lnTo>
                <a:lnTo>
                  <a:pt x="2331" y="3058"/>
                </a:lnTo>
                <a:lnTo>
                  <a:pt x="2067" y="2926"/>
                </a:lnTo>
                <a:lnTo>
                  <a:pt x="1947" y="3187"/>
                </a:lnTo>
                <a:lnTo>
                  <a:pt x="1938" y="3203"/>
                </a:lnTo>
                <a:lnTo>
                  <a:pt x="1925" y="3215"/>
                </a:lnTo>
                <a:lnTo>
                  <a:pt x="1909" y="3225"/>
                </a:lnTo>
                <a:lnTo>
                  <a:pt x="1892" y="3230"/>
                </a:lnTo>
                <a:lnTo>
                  <a:pt x="1886" y="3230"/>
                </a:lnTo>
                <a:lnTo>
                  <a:pt x="1880" y="3231"/>
                </a:lnTo>
                <a:lnTo>
                  <a:pt x="1860" y="3228"/>
                </a:lnTo>
                <a:lnTo>
                  <a:pt x="1842" y="3220"/>
                </a:lnTo>
                <a:lnTo>
                  <a:pt x="1827" y="3207"/>
                </a:lnTo>
                <a:lnTo>
                  <a:pt x="1625" y="2997"/>
                </a:lnTo>
                <a:lnTo>
                  <a:pt x="1419" y="3208"/>
                </a:lnTo>
                <a:lnTo>
                  <a:pt x="1405" y="3220"/>
                </a:lnTo>
                <a:lnTo>
                  <a:pt x="1389" y="3227"/>
                </a:lnTo>
                <a:lnTo>
                  <a:pt x="1371" y="3231"/>
                </a:lnTo>
                <a:lnTo>
                  <a:pt x="1354" y="3229"/>
                </a:lnTo>
                <a:lnTo>
                  <a:pt x="1337" y="3224"/>
                </a:lnTo>
                <a:lnTo>
                  <a:pt x="1321" y="3215"/>
                </a:lnTo>
                <a:lnTo>
                  <a:pt x="1309" y="3203"/>
                </a:lnTo>
                <a:lnTo>
                  <a:pt x="1299" y="3188"/>
                </a:lnTo>
                <a:lnTo>
                  <a:pt x="1176" y="2926"/>
                </a:lnTo>
                <a:lnTo>
                  <a:pt x="916" y="3058"/>
                </a:lnTo>
                <a:lnTo>
                  <a:pt x="899" y="3064"/>
                </a:lnTo>
                <a:lnTo>
                  <a:pt x="881" y="3066"/>
                </a:lnTo>
                <a:lnTo>
                  <a:pt x="864" y="3064"/>
                </a:lnTo>
                <a:lnTo>
                  <a:pt x="847" y="3057"/>
                </a:lnTo>
                <a:lnTo>
                  <a:pt x="832" y="3047"/>
                </a:lnTo>
                <a:lnTo>
                  <a:pt x="821" y="3033"/>
                </a:lnTo>
                <a:lnTo>
                  <a:pt x="813" y="3018"/>
                </a:lnTo>
                <a:lnTo>
                  <a:pt x="809" y="3000"/>
                </a:lnTo>
                <a:lnTo>
                  <a:pt x="779" y="2714"/>
                </a:lnTo>
                <a:lnTo>
                  <a:pt x="495" y="2756"/>
                </a:lnTo>
                <a:lnTo>
                  <a:pt x="476" y="2756"/>
                </a:lnTo>
                <a:lnTo>
                  <a:pt x="459" y="2752"/>
                </a:lnTo>
                <a:lnTo>
                  <a:pt x="443" y="2744"/>
                </a:lnTo>
                <a:lnTo>
                  <a:pt x="429" y="2733"/>
                </a:lnTo>
                <a:lnTo>
                  <a:pt x="419" y="2718"/>
                </a:lnTo>
                <a:lnTo>
                  <a:pt x="412" y="2702"/>
                </a:lnTo>
                <a:lnTo>
                  <a:pt x="410" y="2684"/>
                </a:lnTo>
                <a:lnTo>
                  <a:pt x="412" y="2666"/>
                </a:lnTo>
                <a:lnTo>
                  <a:pt x="479" y="2379"/>
                </a:lnTo>
                <a:lnTo>
                  <a:pt x="184" y="2322"/>
                </a:lnTo>
                <a:lnTo>
                  <a:pt x="167" y="2316"/>
                </a:lnTo>
                <a:lnTo>
                  <a:pt x="152" y="2307"/>
                </a:lnTo>
                <a:lnTo>
                  <a:pt x="140" y="2294"/>
                </a:lnTo>
                <a:lnTo>
                  <a:pt x="131" y="2279"/>
                </a:lnTo>
                <a:lnTo>
                  <a:pt x="126" y="2261"/>
                </a:lnTo>
                <a:lnTo>
                  <a:pt x="125" y="2244"/>
                </a:lnTo>
                <a:lnTo>
                  <a:pt x="128" y="2226"/>
                </a:lnTo>
                <a:lnTo>
                  <a:pt x="136" y="2209"/>
                </a:lnTo>
                <a:lnTo>
                  <a:pt x="292" y="1957"/>
                </a:lnTo>
                <a:lnTo>
                  <a:pt x="39" y="1820"/>
                </a:lnTo>
                <a:lnTo>
                  <a:pt x="24" y="1810"/>
                </a:lnTo>
                <a:lnTo>
                  <a:pt x="12" y="1796"/>
                </a:lnTo>
                <a:lnTo>
                  <a:pt x="4" y="1780"/>
                </a:lnTo>
                <a:lnTo>
                  <a:pt x="0" y="1762"/>
                </a:lnTo>
                <a:lnTo>
                  <a:pt x="1" y="1744"/>
                </a:lnTo>
                <a:lnTo>
                  <a:pt x="6" y="1727"/>
                </a:lnTo>
                <a:lnTo>
                  <a:pt x="15" y="1711"/>
                </a:lnTo>
                <a:lnTo>
                  <a:pt x="27" y="1698"/>
                </a:lnTo>
                <a:lnTo>
                  <a:pt x="258" y="1506"/>
                </a:lnTo>
                <a:lnTo>
                  <a:pt x="64" y="1296"/>
                </a:lnTo>
                <a:lnTo>
                  <a:pt x="54" y="1281"/>
                </a:lnTo>
                <a:lnTo>
                  <a:pt x="47" y="1265"/>
                </a:lnTo>
                <a:lnTo>
                  <a:pt x="45" y="1247"/>
                </a:lnTo>
                <a:lnTo>
                  <a:pt x="47" y="1229"/>
                </a:lnTo>
                <a:lnTo>
                  <a:pt x="53" y="1212"/>
                </a:lnTo>
                <a:lnTo>
                  <a:pt x="63" y="1197"/>
                </a:lnTo>
                <a:lnTo>
                  <a:pt x="77" y="1186"/>
                </a:lnTo>
                <a:lnTo>
                  <a:pt x="93" y="1177"/>
                </a:lnTo>
                <a:lnTo>
                  <a:pt x="365" y="1074"/>
                </a:lnTo>
                <a:lnTo>
                  <a:pt x="255" y="810"/>
                </a:lnTo>
                <a:lnTo>
                  <a:pt x="250" y="793"/>
                </a:lnTo>
                <a:lnTo>
                  <a:pt x="250" y="775"/>
                </a:lnTo>
                <a:lnTo>
                  <a:pt x="253" y="758"/>
                </a:lnTo>
                <a:lnTo>
                  <a:pt x="261" y="742"/>
                </a:lnTo>
                <a:lnTo>
                  <a:pt x="273" y="728"/>
                </a:lnTo>
                <a:lnTo>
                  <a:pt x="287" y="718"/>
                </a:lnTo>
                <a:lnTo>
                  <a:pt x="303" y="711"/>
                </a:lnTo>
                <a:lnTo>
                  <a:pt x="321" y="708"/>
                </a:lnTo>
                <a:lnTo>
                  <a:pt x="613" y="702"/>
                </a:lnTo>
                <a:lnTo>
                  <a:pt x="599" y="407"/>
                </a:lnTo>
                <a:lnTo>
                  <a:pt x="601" y="389"/>
                </a:lnTo>
                <a:lnTo>
                  <a:pt x="606" y="373"/>
                </a:lnTo>
                <a:lnTo>
                  <a:pt x="615" y="358"/>
                </a:lnTo>
                <a:lnTo>
                  <a:pt x="628" y="345"/>
                </a:lnTo>
                <a:lnTo>
                  <a:pt x="643" y="336"/>
                </a:lnTo>
                <a:lnTo>
                  <a:pt x="660" y="331"/>
                </a:lnTo>
                <a:lnTo>
                  <a:pt x="678" y="330"/>
                </a:lnTo>
                <a:lnTo>
                  <a:pt x="695" y="333"/>
                </a:lnTo>
                <a:lnTo>
                  <a:pt x="971" y="420"/>
                </a:lnTo>
                <a:lnTo>
                  <a:pt x="1046" y="140"/>
                </a:lnTo>
                <a:lnTo>
                  <a:pt x="1053" y="123"/>
                </a:lnTo>
                <a:lnTo>
                  <a:pt x="1063" y="108"/>
                </a:lnTo>
                <a:lnTo>
                  <a:pt x="1076" y="97"/>
                </a:lnTo>
                <a:lnTo>
                  <a:pt x="1093" y="89"/>
                </a:lnTo>
                <a:lnTo>
                  <a:pt x="1110" y="85"/>
                </a:lnTo>
                <a:lnTo>
                  <a:pt x="1128" y="85"/>
                </a:lnTo>
                <a:lnTo>
                  <a:pt x="1145" y="90"/>
                </a:lnTo>
                <a:lnTo>
                  <a:pt x="1161" y="99"/>
                </a:lnTo>
                <a:lnTo>
                  <a:pt x="1397" y="272"/>
                </a:lnTo>
                <a:lnTo>
                  <a:pt x="1565" y="32"/>
                </a:lnTo>
                <a:lnTo>
                  <a:pt x="1577" y="19"/>
                </a:lnTo>
                <a:lnTo>
                  <a:pt x="1590" y="10"/>
                </a:lnTo>
                <a:lnTo>
                  <a:pt x="1607" y="4"/>
                </a:lnTo>
                <a:lnTo>
                  <a:pt x="1626" y="0"/>
                </a:lnTo>
                <a:close/>
              </a:path>
            </a:pathLst>
          </a:custGeom>
          <a:solidFill>
            <a:srgbClr val="FFFFFF"/>
          </a:solidFill>
          <a:ln w="0">
            <a:noFill/>
            <a:prstDash val="solid"/>
            <a:round/>
            <a:headEnd/>
            <a:tailEnd/>
          </a:ln>
        </xdr:spPr>
      </xdr:sp>
      <xdr:sp macro="" textlink="">
        <xdr:nvSpPr>
          <xdr:cNvPr id="9" name="Forma Livre 50"/>
          <xdr:cNvSpPr>
            <a:spLocks/>
          </xdr:cNvSpPr>
        </xdr:nvSpPr>
        <xdr:spPr bwMode="auto">
          <a:xfrm>
            <a:off x="432" y="832"/>
            <a:ext cx="25" cy="25"/>
          </a:xfrm>
          <a:custGeom>
            <a:avLst/>
            <a:gdLst>
              <a:gd name="T0" fmla="*/ 807 w 1528"/>
              <a:gd name="T1" fmla="*/ 1 h 1465"/>
              <a:gd name="T2" fmla="*/ 875 w 1528"/>
              <a:gd name="T3" fmla="*/ 7 h 1465"/>
              <a:gd name="T4" fmla="*/ 922 w 1528"/>
              <a:gd name="T5" fmla="*/ 19 h 1465"/>
              <a:gd name="T6" fmla="*/ 957 w 1528"/>
              <a:gd name="T7" fmla="*/ 42 h 1465"/>
              <a:gd name="T8" fmla="*/ 969 w 1528"/>
              <a:gd name="T9" fmla="*/ 73 h 1465"/>
              <a:gd name="T10" fmla="*/ 1455 w 1528"/>
              <a:gd name="T11" fmla="*/ 551 h 1465"/>
              <a:gd name="T12" fmla="*/ 1485 w 1528"/>
              <a:gd name="T13" fmla="*/ 562 h 1465"/>
              <a:gd name="T14" fmla="*/ 1508 w 1528"/>
              <a:gd name="T15" fmla="*/ 594 h 1465"/>
              <a:gd name="T16" fmla="*/ 1521 w 1528"/>
              <a:gd name="T17" fmla="*/ 636 h 1465"/>
              <a:gd name="T18" fmla="*/ 1527 w 1528"/>
              <a:gd name="T19" fmla="*/ 697 h 1465"/>
              <a:gd name="T20" fmla="*/ 1527 w 1528"/>
              <a:gd name="T21" fmla="*/ 769 h 1465"/>
              <a:gd name="T22" fmla="*/ 1520 w 1528"/>
              <a:gd name="T23" fmla="*/ 829 h 1465"/>
              <a:gd name="T24" fmla="*/ 1504 w 1528"/>
              <a:gd name="T25" fmla="*/ 869 h 1465"/>
              <a:gd name="T26" fmla="*/ 1480 w 1528"/>
              <a:gd name="T27" fmla="*/ 898 h 1465"/>
              <a:gd name="T28" fmla="*/ 1452 w 1528"/>
              <a:gd name="T29" fmla="*/ 908 h 1465"/>
              <a:gd name="T30" fmla="*/ 969 w 1528"/>
              <a:gd name="T31" fmla="*/ 1392 h 1465"/>
              <a:gd name="T32" fmla="*/ 957 w 1528"/>
              <a:gd name="T33" fmla="*/ 1423 h 1465"/>
              <a:gd name="T34" fmla="*/ 922 w 1528"/>
              <a:gd name="T35" fmla="*/ 1446 h 1465"/>
              <a:gd name="T36" fmla="*/ 875 w 1528"/>
              <a:gd name="T37" fmla="*/ 1458 h 1465"/>
              <a:gd name="T38" fmla="*/ 807 w 1528"/>
              <a:gd name="T39" fmla="*/ 1464 h 1465"/>
              <a:gd name="T40" fmla="*/ 722 w 1528"/>
              <a:gd name="T41" fmla="*/ 1464 h 1465"/>
              <a:gd name="T42" fmla="*/ 651 w 1528"/>
              <a:gd name="T43" fmla="*/ 1458 h 1465"/>
              <a:gd name="T44" fmla="*/ 603 w 1528"/>
              <a:gd name="T45" fmla="*/ 1446 h 1465"/>
              <a:gd name="T46" fmla="*/ 569 w 1528"/>
              <a:gd name="T47" fmla="*/ 1423 h 1465"/>
              <a:gd name="T48" fmla="*/ 557 w 1528"/>
              <a:gd name="T49" fmla="*/ 1392 h 1465"/>
              <a:gd name="T50" fmla="*/ 73 w 1528"/>
              <a:gd name="T51" fmla="*/ 908 h 1465"/>
              <a:gd name="T52" fmla="*/ 46 w 1528"/>
              <a:gd name="T53" fmla="*/ 898 h 1465"/>
              <a:gd name="T54" fmla="*/ 23 w 1528"/>
              <a:gd name="T55" fmla="*/ 869 h 1465"/>
              <a:gd name="T56" fmla="*/ 8 w 1528"/>
              <a:gd name="T57" fmla="*/ 829 h 1465"/>
              <a:gd name="T58" fmla="*/ 1 w 1528"/>
              <a:gd name="T59" fmla="*/ 769 h 1465"/>
              <a:gd name="T60" fmla="*/ 1 w 1528"/>
              <a:gd name="T61" fmla="*/ 697 h 1465"/>
              <a:gd name="T62" fmla="*/ 7 w 1528"/>
              <a:gd name="T63" fmla="*/ 636 h 1465"/>
              <a:gd name="T64" fmla="*/ 19 w 1528"/>
              <a:gd name="T65" fmla="*/ 594 h 1465"/>
              <a:gd name="T66" fmla="*/ 41 w 1528"/>
              <a:gd name="T67" fmla="*/ 562 h 1465"/>
              <a:gd name="T68" fmla="*/ 70 w 1528"/>
              <a:gd name="T69" fmla="*/ 551 h 1465"/>
              <a:gd name="T70" fmla="*/ 557 w 1528"/>
              <a:gd name="T71" fmla="*/ 73 h 1465"/>
              <a:gd name="T72" fmla="*/ 569 w 1528"/>
              <a:gd name="T73" fmla="*/ 42 h 1465"/>
              <a:gd name="T74" fmla="*/ 603 w 1528"/>
              <a:gd name="T75" fmla="*/ 19 h 1465"/>
              <a:gd name="T76" fmla="*/ 651 w 1528"/>
              <a:gd name="T77" fmla="*/ 7 h 1465"/>
              <a:gd name="T78" fmla="*/ 722 w 1528"/>
              <a:gd name="T79" fmla="*/ 1 h 14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528" h="1465">
                <a:moveTo>
                  <a:pt x="765" y="0"/>
                </a:moveTo>
                <a:lnTo>
                  <a:pt x="807" y="1"/>
                </a:lnTo>
                <a:lnTo>
                  <a:pt x="844" y="3"/>
                </a:lnTo>
                <a:lnTo>
                  <a:pt x="875" y="7"/>
                </a:lnTo>
                <a:lnTo>
                  <a:pt x="901" y="12"/>
                </a:lnTo>
                <a:lnTo>
                  <a:pt x="922" y="19"/>
                </a:lnTo>
                <a:lnTo>
                  <a:pt x="943" y="30"/>
                </a:lnTo>
                <a:lnTo>
                  <a:pt x="957" y="42"/>
                </a:lnTo>
                <a:lnTo>
                  <a:pt x="966" y="56"/>
                </a:lnTo>
                <a:lnTo>
                  <a:pt x="969" y="73"/>
                </a:lnTo>
                <a:lnTo>
                  <a:pt x="969" y="551"/>
                </a:lnTo>
                <a:lnTo>
                  <a:pt x="1455" y="551"/>
                </a:lnTo>
                <a:lnTo>
                  <a:pt x="1471" y="554"/>
                </a:lnTo>
                <a:lnTo>
                  <a:pt x="1485" y="562"/>
                </a:lnTo>
                <a:lnTo>
                  <a:pt x="1497" y="575"/>
                </a:lnTo>
                <a:lnTo>
                  <a:pt x="1508" y="594"/>
                </a:lnTo>
                <a:lnTo>
                  <a:pt x="1515" y="613"/>
                </a:lnTo>
                <a:lnTo>
                  <a:pt x="1521" y="636"/>
                </a:lnTo>
                <a:lnTo>
                  <a:pt x="1525" y="665"/>
                </a:lnTo>
                <a:lnTo>
                  <a:pt x="1527" y="697"/>
                </a:lnTo>
                <a:lnTo>
                  <a:pt x="1528" y="733"/>
                </a:lnTo>
                <a:lnTo>
                  <a:pt x="1527" y="769"/>
                </a:lnTo>
                <a:lnTo>
                  <a:pt x="1524" y="801"/>
                </a:lnTo>
                <a:lnTo>
                  <a:pt x="1520" y="829"/>
                </a:lnTo>
                <a:lnTo>
                  <a:pt x="1513" y="851"/>
                </a:lnTo>
                <a:lnTo>
                  <a:pt x="1504" y="869"/>
                </a:lnTo>
                <a:lnTo>
                  <a:pt x="1492" y="886"/>
                </a:lnTo>
                <a:lnTo>
                  <a:pt x="1480" y="898"/>
                </a:lnTo>
                <a:lnTo>
                  <a:pt x="1467" y="905"/>
                </a:lnTo>
                <a:lnTo>
                  <a:pt x="1452" y="908"/>
                </a:lnTo>
                <a:lnTo>
                  <a:pt x="969" y="908"/>
                </a:lnTo>
                <a:lnTo>
                  <a:pt x="969" y="1392"/>
                </a:lnTo>
                <a:lnTo>
                  <a:pt x="966" y="1409"/>
                </a:lnTo>
                <a:lnTo>
                  <a:pt x="957" y="1423"/>
                </a:lnTo>
                <a:lnTo>
                  <a:pt x="943" y="1436"/>
                </a:lnTo>
                <a:lnTo>
                  <a:pt x="922" y="1446"/>
                </a:lnTo>
                <a:lnTo>
                  <a:pt x="901" y="1453"/>
                </a:lnTo>
                <a:lnTo>
                  <a:pt x="875" y="1458"/>
                </a:lnTo>
                <a:lnTo>
                  <a:pt x="844" y="1462"/>
                </a:lnTo>
                <a:lnTo>
                  <a:pt x="807" y="1464"/>
                </a:lnTo>
                <a:lnTo>
                  <a:pt x="765" y="1465"/>
                </a:lnTo>
                <a:lnTo>
                  <a:pt x="722" y="1464"/>
                </a:lnTo>
                <a:lnTo>
                  <a:pt x="684" y="1462"/>
                </a:lnTo>
                <a:lnTo>
                  <a:pt x="651" y="1458"/>
                </a:lnTo>
                <a:lnTo>
                  <a:pt x="625" y="1453"/>
                </a:lnTo>
                <a:lnTo>
                  <a:pt x="603" y="1446"/>
                </a:lnTo>
                <a:lnTo>
                  <a:pt x="583" y="1436"/>
                </a:lnTo>
                <a:lnTo>
                  <a:pt x="569" y="1423"/>
                </a:lnTo>
                <a:lnTo>
                  <a:pt x="560" y="1409"/>
                </a:lnTo>
                <a:lnTo>
                  <a:pt x="557" y="1392"/>
                </a:lnTo>
                <a:lnTo>
                  <a:pt x="557" y="908"/>
                </a:lnTo>
                <a:lnTo>
                  <a:pt x="73" y="908"/>
                </a:lnTo>
                <a:lnTo>
                  <a:pt x="59" y="905"/>
                </a:lnTo>
                <a:lnTo>
                  <a:pt x="46" y="898"/>
                </a:lnTo>
                <a:lnTo>
                  <a:pt x="34" y="886"/>
                </a:lnTo>
                <a:lnTo>
                  <a:pt x="23" y="869"/>
                </a:lnTo>
                <a:lnTo>
                  <a:pt x="15" y="851"/>
                </a:lnTo>
                <a:lnTo>
                  <a:pt x="8" y="829"/>
                </a:lnTo>
                <a:lnTo>
                  <a:pt x="4" y="801"/>
                </a:lnTo>
                <a:lnTo>
                  <a:pt x="1" y="769"/>
                </a:lnTo>
                <a:lnTo>
                  <a:pt x="0" y="733"/>
                </a:lnTo>
                <a:lnTo>
                  <a:pt x="1" y="697"/>
                </a:lnTo>
                <a:lnTo>
                  <a:pt x="3" y="665"/>
                </a:lnTo>
                <a:lnTo>
                  <a:pt x="7" y="636"/>
                </a:lnTo>
                <a:lnTo>
                  <a:pt x="12" y="613"/>
                </a:lnTo>
                <a:lnTo>
                  <a:pt x="19" y="594"/>
                </a:lnTo>
                <a:lnTo>
                  <a:pt x="29" y="575"/>
                </a:lnTo>
                <a:lnTo>
                  <a:pt x="41" y="562"/>
                </a:lnTo>
                <a:lnTo>
                  <a:pt x="55" y="554"/>
                </a:lnTo>
                <a:lnTo>
                  <a:pt x="70" y="551"/>
                </a:lnTo>
                <a:lnTo>
                  <a:pt x="557" y="551"/>
                </a:lnTo>
                <a:lnTo>
                  <a:pt x="557" y="73"/>
                </a:lnTo>
                <a:lnTo>
                  <a:pt x="560" y="56"/>
                </a:lnTo>
                <a:lnTo>
                  <a:pt x="569" y="42"/>
                </a:lnTo>
                <a:lnTo>
                  <a:pt x="583" y="30"/>
                </a:lnTo>
                <a:lnTo>
                  <a:pt x="603" y="19"/>
                </a:lnTo>
                <a:lnTo>
                  <a:pt x="625" y="12"/>
                </a:lnTo>
                <a:lnTo>
                  <a:pt x="651" y="7"/>
                </a:lnTo>
                <a:lnTo>
                  <a:pt x="684" y="3"/>
                </a:lnTo>
                <a:lnTo>
                  <a:pt x="722" y="1"/>
                </a:lnTo>
                <a:lnTo>
                  <a:pt x="765" y="0"/>
                </a:lnTo>
                <a:close/>
              </a:path>
            </a:pathLst>
          </a:custGeom>
          <a:solidFill>
            <a:schemeClr val="tx2"/>
          </a:solidFill>
          <a:ln w="0">
            <a:noFill/>
            <a:prstDash val="solid"/>
            <a:round/>
            <a:headEnd/>
            <a:tailEnd/>
          </a:ln>
        </xdr:spPr>
      </xdr:sp>
    </xdr:grpSp>
    <xdr:clientData/>
  </xdr:twoCellAnchor>
  <xdr:twoCellAnchor>
    <xdr:from>
      <xdr:col>10</xdr:col>
      <xdr:colOff>148469</xdr:colOff>
      <xdr:row>0</xdr:row>
      <xdr:rowOff>95251</xdr:rowOff>
    </xdr:from>
    <xdr:to>
      <xdr:col>11</xdr:col>
      <xdr:colOff>754259</xdr:colOff>
      <xdr:row>0</xdr:row>
      <xdr:rowOff>333375</xdr:rowOff>
    </xdr:to>
    <xdr:sp macro="" textlink="">
      <xdr:nvSpPr>
        <xdr:cNvPr id="30" name="Voltar à Visão Geral" descr="Click to return to the Dashboard sheet" title="Voltar à Visão Geral">
          <a:hlinkClick xmlns:r="http://schemas.openxmlformats.org/officeDocument/2006/relationships" r:id="rId1" tooltip="Clique para retornar ao Painel"/>
        </xdr:cNvPr>
        <xdr:cNvSpPr txBox="1"/>
      </xdr:nvSpPr>
      <xdr:spPr>
        <a:xfrm>
          <a:off x="10435469" y="95251"/>
          <a:ext cx="1463040" cy="238124"/>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800" b="1" spc="40" baseline="0">
              <a:solidFill>
                <a:schemeClr val="bg1"/>
              </a:solidFill>
              <a:latin typeface="+mj-lt"/>
            </a:rPr>
            <a:t>voltar à visão geral</a:t>
          </a:r>
        </a:p>
      </xdr:txBody>
    </xdr:sp>
    <xdr:clientData fPrintsWithSheet="0"/>
  </xdr:twoCellAnchor>
  <xdr:twoCellAnchor editAs="oneCell">
    <xdr:from>
      <xdr:col>9</xdr:col>
      <xdr:colOff>1733550</xdr:colOff>
      <xdr:row>0</xdr:row>
      <xdr:rowOff>28575</xdr:rowOff>
    </xdr:from>
    <xdr:to>
      <xdr:col>10</xdr:col>
      <xdr:colOff>241935</xdr:colOff>
      <xdr:row>0</xdr:row>
      <xdr:rowOff>394335</xdr:rowOff>
    </xdr:to>
    <xdr:sp macro="" textlink="">
      <xdr:nvSpPr>
        <xdr:cNvPr id="33" name="Retângulo 60"/>
        <xdr:cNvSpPr>
          <a:spLocks noChangeArrowheads="1"/>
        </xdr:cNvSpPr>
      </xdr:nvSpPr>
      <xdr:spPr bwMode="auto">
        <a:xfrm>
          <a:off x="10163175" y="28575"/>
          <a:ext cx="365760" cy="365760"/>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9</xdr:col>
      <xdr:colOff>1733550</xdr:colOff>
      <xdr:row>0</xdr:row>
      <xdr:rowOff>28575</xdr:rowOff>
    </xdr:from>
    <xdr:to>
      <xdr:col>10</xdr:col>
      <xdr:colOff>233807</xdr:colOff>
      <xdr:row>0</xdr:row>
      <xdr:rowOff>386207</xdr:rowOff>
    </xdr:to>
    <xdr:sp macro="" textlink="">
      <xdr:nvSpPr>
        <xdr:cNvPr id="34" name="Forma Livre 61"/>
        <xdr:cNvSpPr>
          <a:spLocks/>
        </xdr:cNvSpPr>
      </xdr:nvSpPr>
      <xdr:spPr bwMode="auto">
        <a:xfrm>
          <a:off x="10163175" y="28575"/>
          <a:ext cx="357632" cy="357632"/>
        </a:xfrm>
        <a:custGeom>
          <a:avLst/>
          <a:gdLst>
            <a:gd name="T0" fmla="*/ 1672 w 3238"/>
            <a:gd name="T1" fmla="*/ 18 h 3203"/>
            <a:gd name="T2" fmla="*/ 2098 w 3238"/>
            <a:gd name="T3" fmla="*/ 88 h 3203"/>
            <a:gd name="T4" fmla="*/ 2165 w 3238"/>
            <a:gd name="T5" fmla="*/ 95 h 3203"/>
            <a:gd name="T6" fmla="*/ 2274 w 3238"/>
            <a:gd name="T7" fmla="*/ 416 h 3203"/>
            <a:gd name="T8" fmla="*/ 2603 w 3238"/>
            <a:gd name="T9" fmla="*/ 332 h 3203"/>
            <a:gd name="T10" fmla="*/ 2646 w 3238"/>
            <a:gd name="T11" fmla="*/ 386 h 3203"/>
            <a:gd name="T12" fmla="*/ 2936 w 3238"/>
            <a:gd name="T13" fmla="*/ 704 h 3203"/>
            <a:gd name="T14" fmla="*/ 2986 w 3238"/>
            <a:gd name="T15" fmla="*/ 751 h 3203"/>
            <a:gd name="T16" fmla="*/ 2874 w 3238"/>
            <a:gd name="T17" fmla="*/ 1064 h 3203"/>
            <a:gd name="T18" fmla="*/ 3186 w 3238"/>
            <a:gd name="T19" fmla="*/ 1201 h 3203"/>
            <a:gd name="T20" fmla="*/ 3186 w 3238"/>
            <a:gd name="T21" fmla="*/ 1269 h 3203"/>
            <a:gd name="T22" fmla="*/ 3225 w 3238"/>
            <a:gd name="T23" fmla="*/ 1696 h 3203"/>
            <a:gd name="T24" fmla="*/ 3234 w 3238"/>
            <a:gd name="T25" fmla="*/ 1765 h 3203"/>
            <a:gd name="T26" fmla="*/ 2944 w 3238"/>
            <a:gd name="T27" fmla="*/ 1940 h 3203"/>
            <a:gd name="T28" fmla="*/ 3114 w 3238"/>
            <a:gd name="T29" fmla="*/ 2241 h 3203"/>
            <a:gd name="T30" fmla="*/ 3073 w 3238"/>
            <a:gd name="T31" fmla="*/ 2295 h 3203"/>
            <a:gd name="T32" fmla="*/ 2835 w 3238"/>
            <a:gd name="T33" fmla="*/ 2661 h 3203"/>
            <a:gd name="T34" fmla="*/ 2802 w 3238"/>
            <a:gd name="T35" fmla="*/ 2722 h 3203"/>
            <a:gd name="T36" fmla="*/ 2466 w 3238"/>
            <a:gd name="T37" fmla="*/ 2690 h 3203"/>
            <a:gd name="T38" fmla="*/ 2408 w 3238"/>
            <a:gd name="T39" fmla="*/ 3020 h 3203"/>
            <a:gd name="T40" fmla="*/ 2343 w 3238"/>
            <a:gd name="T41" fmla="*/ 3037 h 3203"/>
            <a:gd name="T42" fmla="*/ 1933 w 3238"/>
            <a:gd name="T43" fmla="*/ 3176 h 3203"/>
            <a:gd name="T44" fmla="*/ 1883 w 3238"/>
            <a:gd name="T45" fmla="*/ 3203 h 3203"/>
            <a:gd name="T46" fmla="*/ 1834 w 3238"/>
            <a:gd name="T47" fmla="*/ 3190 h 3203"/>
            <a:gd name="T48" fmla="*/ 1402 w 3238"/>
            <a:gd name="T49" fmla="*/ 3192 h 3203"/>
            <a:gd name="T50" fmla="*/ 1333 w 3238"/>
            <a:gd name="T51" fmla="*/ 3197 h 3203"/>
            <a:gd name="T52" fmla="*/ 1174 w 3238"/>
            <a:gd name="T53" fmla="*/ 2900 h 3203"/>
            <a:gd name="T54" fmla="*/ 862 w 3238"/>
            <a:gd name="T55" fmla="*/ 3037 h 3203"/>
            <a:gd name="T56" fmla="*/ 812 w 3238"/>
            <a:gd name="T57" fmla="*/ 2991 h 3203"/>
            <a:gd name="T58" fmla="*/ 475 w 3238"/>
            <a:gd name="T59" fmla="*/ 2733 h 3203"/>
            <a:gd name="T60" fmla="*/ 418 w 3238"/>
            <a:gd name="T61" fmla="*/ 2694 h 3203"/>
            <a:gd name="T62" fmla="*/ 477 w 3238"/>
            <a:gd name="T63" fmla="*/ 2358 h 3203"/>
            <a:gd name="T64" fmla="*/ 140 w 3238"/>
            <a:gd name="T65" fmla="*/ 2274 h 3203"/>
            <a:gd name="T66" fmla="*/ 128 w 3238"/>
            <a:gd name="T67" fmla="*/ 2207 h 3203"/>
            <a:gd name="T68" fmla="*/ 24 w 3238"/>
            <a:gd name="T69" fmla="*/ 1794 h 3203"/>
            <a:gd name="T70" fmla="*/ 1 w 3238"/>
            <a:gd name="T71" fmla="*/ 1728 h 3203"/>
            <a:gd name="T72" fmla="*/ 257 w 3238"/>
            <a:gd name="T73" fmla="*/ 1494 h 3203"/>
            <a:gd name="T74" fmla="*/ 45 w 3238"/>
            <a:gd name="T75" fmla="*/ 1236 h 3203"/>
            <a:gd name="T76" fmla="*/ 77 w 3238"/>
            <a:gd name="T77" fmla="*/ 1175 h 3203"/>
            <a:gd name="T78" fmla="*/ 250 w 3238"/>
            <a:gd name="T79" fmla="*/ 785 h 3203"/>
            <a:gd name="T80" fmla="*/ 273 w 3238"/>
            <a:gd name="T81" fmla="*/ 721 h 3203"/>
            <a:gd name="T82" fmla="*/ 611 w 3238"/>
            <a:gd name="T83" fmla="*/ 695 h 3203"/>
            <a:gd name="T84" fmla="*/ 614 w 3238"/>
            <a:gd name="T85" fmla="*/ 354 h 3203"/>
            <a:gd name="T86" fmla="*/ 676 w 3238"/>
            <a:gd name="T87" fmla="*/ 326 h 3203"/>
            <a:gd name="T88" fmla="*/ 1050 w 3238"/>
            <a:gd name="T89" fmla="*/ 121 h 3203"/>
            <a:gd name="T90" fmla="*/ 1108 w 3238"/>
            <a:gd name="T91" fmla="*/ 83 h 3203"/>
            <a:gd name="T92" fmla="*/ 1394 w 3238"/>
            <a:gd name="T93" fmla="*/ 269 h 3203"/>
            <a:gd name="T94" fmla="*/ 1604 w 3238"/>
            <a:gd name="T95" fmla="*/ 3 h 3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38" h="3203">
              <a:moveTo>
                <a:pt x="1623" y="0"/>
              </a:moveTo>
              <a:lnTo>
                <a:pt x="1641" y="2"/>
              </a:lnTo>
              <a:lnTo>
                <a:pt x="1657" y="8"/>
              </a:lnTo>
              <a:lnTo>
                <a:pt x="1672" y="18"/>
              </a:lnTo>
              <a:lnTo>
                <a:pt x="1684" y="32"/>
              </a:lnTo>
              <a:lnTo>
                <a:pt x="1843" y="268"/>
              </a:lnTo>
              <a:lnTo>
                <a:pt x="2081" y="96"/>
              </a:lnTo>
              <a:lnTo>
                <a:pt x="2098" y="88"/>
              </a:lnTo>
              <a:lnTo>
                <a:pt x="2115" y="84"/>
              </a:lnTo>
              <a:lnTo>
                <a:pt x="2132" y="83"/>
              </a:lnTo>
              <a:lnTo>
                <a:pt x="2150" y="87"/>
              </a:lnTo>
              <a:lnTo>
                <a:pt x="2165" y="95"/>
              </a:lnTo>
              <a:lnTo>
                <a:pt x="2179" y="106"/>
              </a:lnTo>
              <a:lnTo>
                <a:pt x="2189" y="120"/>
              </a:lnTo>
              <a:lnTo>
                <a:pt x="2196" y="136"/>
              </a:lnTo>
              <a:lnTo>
                <a:pt x="2274" y="416"/>
              </a:lnTo>
              <a:lnTo>
                <a:pt x="2551" y="329"/>
              </a:lnTo>
              <a:lnTo>
                <a:pt x="2568" y="326"/>
              </a:lnTo>
              <a:lnTo>
                <a:pt x="2586" y="327"/>
              </a:lnTo>
              <a:lnTo>
                <a:pt x="2603" y="332"/>
              </a:lnTo>
              <a:lnTo>
                <a:pt x="2618" y="342"/>
              </a:lnTo>
              <a:lnTo>
                <a:pt x="2631" y="354"/>
              </a:lnTo>
              <a:lnTo>
                <a:pt x="2641" y="369"/>
              </a:lnTo>
              <a:lnTo>
                <a:pt x="2646" y="386"/>
              </a:lnTo>
              <a:lnTo>
                <a:pt x="2647" y="404"/>
              </a:lnTo>
              <a:lnTo>
                <a:pt x="2626" y="695"/>
              </a:lnTo>
              <a:lnTo>
                <a:pt x="2918" y="701"/>
              </a:lnTo>
              <a:lnTo>
                <a:pt x="2936" y="704"/>
              </a:lnTo>
              <a:lnTo>
                <a:pt x="2952" y="711"/>
              </a:lnTo>
              <a:lnTo>
                <a:pt x="2967" y="721"/>
              </a:lnTo>
              <a:lnTo>
                <a:pt x="2979" y="735"/>
              </a:lnTo>
              <a:lnTo>
                <a:pt x="2986" y="751"/>
              </a:lnTo>
              <a:lnTo>
                <a:pt x="2990" y="768"/>
              </a:lnTo>
              <a:lnTo>
                <a:pt x="2989" y="786"/>
              </a:lnTo>
              <a:lnTo>
                <a:pt x="2984" y="804"/>
              </a:lnTo>
              <a:lnTo>
                <a:pt x="2874" y="1064"/>
              </a:lnTo>
              <a:lnTo>
                <a:pt x="3146" y="1166"/>
              </a:lnTo>
              <a:lnTo>
                <a:pt x="3162" y="1175"/>
              </a:lnTo>
              <a:lnTo>
                <a:pt x="3176" y="1187"/>
              </a:lnTo>
              <a:lnTo>
                <a:pt x="3186" y="1201"/>
              </a:lnTo>
              <a:lnTo>
                <a:pt x="3192" y="1218"/>
              </a:lnTo>
              <a:lnTo>
                <a:pt x="3194" y="1235"/>
              </a:lnTo>
              <a:lnTo>
                <a:pt x="3192" y="1253"/>
              </a:lnTo>
              <a:lnTo>
                <a:pt x="3186" y="1269"/>
              </a:lnTo>
              <a:lnTo>
                <a:pt x="3176" y="1284"/>
              </a:lnTo>
              <a:lnTo>
                <a:pt x="2986" y="1494"/>
              </a:lnTo>
              <a:lnTo>
                <a:pt x="3213" y="1683"/>
              </a:lnTo>
              <a:lnTo>
                <a:pt x="3225" y="1696"/>
              </a:lnTo>
              <a:lnTo>
                <a:pt x="3234" y="1712"/>
              </a:lnTo>
              <a:lnTo>
                <a:pt x="3238" y="1729"/>
              </a:lnTo>
              <a:lnTo>
                <a:pt x="3238" y="1746"/>
              </a:lnTo>
              <a:lnTo>
                <a:pt x="3234" y="1765"/>
              </a:lnTo>
              <a:lnTo>
                <a:pt x="3226" y="1781"/>
              </a:lnTo>
              <a:lnTo>
                <a:pt x="3215" y="1794"/>
              </a:lnTo>
              <a:lnTo>
                <a:pt x="3200" y="1805"/>
              </a:lnTo>
              <a:lnTo>
                <a:pt x="2944" y="1940"/>
              </a:lnTo>
              <a:lnTo>
                <a:pt x="3103" y="2190"/>
              </a:lnTo>
              <a:lnTo>
                <a:pt x="3111" y="2206"/>
              </a:lnTo>
              <a:lnTo>
                <a:pt x="3114" y="2224"/>
              </a:lnTo>
              <a:lnTo>
                <a:pt x="3114" y="2241"/>
              </a:lnTo>
              <a:lnTo>
                <a:pt x="3109" y="2258"/>
              </a:lnTo>
              <a:lnTo>
                <a:pt x="3100" y="2274"/>
              </a:lnTo>
              <a:lnTo>
                <a:pt x="3087" y="2286"/>
              </a:lnTo>
              <a:lnTo>
                <a:pt x="3073" y="2295"/>
              </a:lnTo>
              <a:lnTo>
                <a:pt x="3055" y="2301"/>
              </a:lnTo>
              <a:lnTo>
                <a:pt x="2767" y="2358"/>
              </a:lnTo>
              <a:lnTo>
                <a:pt x="2833" y="2643"/>
              </a:lnTo>
              <a:lnTo>
                <a:pt x="2835" y="2661"/>
              </a:lnTo>
              <a:lnTo>
                <a:pt x="2833" y="2678"/>
              </a:lnTo>
              <a:lnTo>
                <a:pt x="2827" y="2694"/>
              </a:lnTo>
              <a:lnTo>
                <a:pt x="2816" y="2709"/>
              </a:lnTo>
              <a:lnTo>
                <a:pt x="2802" y="2722"/>
              </a:lnTo>
              <a:lnTo>
                <a:pt x="2786" y="2729"/>
              </a:lnTo>
              <a:lnTo>
                <a:pt x="2769" y="2733"/>
              </a:lnTo>
              <a:lnTo>
                <a:pt x="2751" y="2733"/>
              </a:lnTo>
              <a:lnTo>
                <a:pt x="2466" y="2690"/>
              </a:lnTo>
              <a:lnTo>
                <a:pt x="2433" y="2975"/>
              </a:lnTo>
              <a:lnTo>
                <a:pt x="2428" y="2992"/>
              </a:lnTo>
              <a:lnTo>
                <a:pt x="2420" y="3007"/>
              </a:lnTo>
              <a:lnTo>
                <a:pt x="2408" y="3020"/>
              </a:lnTo>
              <a:lnTo>
                <a:pt x="2394" y="3031"/>
              </a:lnTo>
              <a:lnTo>
                <a:pt x="2377" y="3037"/>
              </a:lnTo>
              <a:lnTo>
                <a:pt x="2360" y="3039"/>
              </a:lnTo>
              <a:lnTo>
                <a:pt x="2343" y="3037"/>
              </a:lnTo>
              <a:lnTo>
                <a:pt x="2326" y="3032"/>
              </a:lnTo>
              <a:lnTo>
                <a:pt x="2063" y="2900"/>
              </a:lnTo>
              <a:lnTo>
                <a:pt x="1943" y="3160"/>
              </a:lnTo>
              <a:lnTo>
                <a:pt x="1933" y="3176"/>
              </a:lnTo>
              <a:lnTo>
                <a:pt x="1921" y="3188"/>
              </a:lnTo>
              <a:lnTo>
                <a:pt x="1906" y="3197"/>
              </a:lnTo>
              <a:lnTo>
                <a:pt x="1889" y="3202"/>
              </a:lnTo>
              <a:lnTo>
                <a:pt x="1883" y="3203"/>
              </a:lnTo>
              <a:lnTo>
                <a:pt x="1875" y="3203"/>
              </a:lnTo>
              <a:lnTo>
                <a:pt x="1861" y="3201"/>
              </a:lnTo>
              <a:lnTo>
                <a:pt x="1847" y="3197"/>
              </a:lnTo>
              <a:lnTo>
                <a:pt x="1834" y="3190"/>
              </a:lnTo>
              <a:lnTo>
                <a:pt x="1823" y="3180"/>
              </a:lnTo>
              <a:lnTo>
                <a:pt x="1622" y="2970"/>
              </a:lnTo>
              <a:lnTo>
                <a:pt x="1416" y="3181"/>
              </a:lnTo>
              <a:lnTo>
                <a:pt x="1402" y="3192"/>
              </a:lnTo>
              <a:lnTo>
                <a:pt x="1386" y="3200"/>
              </a:lnTo>
              <a:lnTo>
                <a:pt x="1369" y="3203"/>
              </a:lnTo>
              <a:lnTo>
                <a:pt x="1351" y="3202"/>
              </a:lnTo>
              <a:lnTo>
                <a:pt x="1333" y="3197"/>
              </a:lnTo>
              <a:lnTo>
                <a:pt x="1318" y="3188"/>
              </a:lnTo>
              <a:lnTo>
                <a:pt x="1306" y="3176"/>
              </a:lnTo>
              <a:lnTo>
                <a:pt x="1296" y="3161"/>
              </a:lnTo>
              <a:lnTo>
                <a:pt x="1174" y="2900"/>
              </a:lnTo>
              <a:lnTo>
                <a:pt x="915" y="3031"/>
              </a:lnTo>
              <a:lnTo>
                <a:pt x="897" y="3037"/>
              </a:lnTo>
              <a:lnTo>
                <a:pt x="879" y="3039"/>
              </a:lnTo>
              <a:lnTo>
                <a:pt x="862" y="3037"/>
              </a:lnTo>
              <a:lnTo>
                <a:pt x="846" y="3031"/>
              </a:lnTo>
              <a:lnTo>
                <a:pt x="831" y="3020"/>
              </a:lnTo>
              <a:lnTo>
                <a:pt x="820" y="3007"/>
              </a:lnTo>
              <a:lnTo>
                <a:pt x="812" y="2991"/>
              </a:lnTo>
              <a:lnTo>
                <a:pt x="808" y="2974"/>
              </a:lnTo>
              <a:lnTo>
                <a:pt x="777" y="2690"/>
              </a:lnTo>
              <a:lnTo>
                <a:pt x="494" y="2733"/>
              </a:lnTo>
              <a:lnTo>
                <a:pt x="475" y="2733"/>
              </a:lnTo>
              <a:lnTo>
                <a:pt x="458" y="2730"/>
              </a:lnTo>
              <a:lnTo>
                <a:pt x="442" y="2722"/>
              </a:lnTo>
              <a:lnTo>
                <a:pt x="428" y="2709"/>
              </a:lnTo>
              <a:lnTo>
                <a:pt x="418" y="2694"/>
              </a:lnTo>
              <a:lnTo>
                <a:pt x="411" y="2678"/>
              </a:lnTo>
              <a:lnTo>
                <a:pt x="409" y="2661"/>
              </a:lnTo>
              <a:lnTo>
                <a:pt x="411" y="2643"/>
              </a:lnTo>
              <a:lnTo>
                <a:pt x="477" y="2358"/>
              </a:lnTo>
              <a:lnTo>
                <a:pt x="184" y="2301"/>
              </a:lnTo>
              <a:lnTo>
                <a:pt x="168" y="2295"/>
              </a:lnTo>
              <a:lnTo>
                <a:pt x="152" y="2286"/>
              </a:lnTo>
              <a:lnTo>
                <a:pt x="140" y="2274"/>
              </a:lnTo>
              <a:lnTo>
                <a:pt x="131" y="2258"/>
              </a:lnTo>
              <a:lnTo>
                <a:pt x="126" y="2241"/>
              </a:lnTo>
              <a:lnTo>
                <a:pt x="125" y="2224"/>
              </a:lnTo>
              <a:lnTo>
                <a:pt x="128" y="2207"/>
              </a:lnTo>
              <a:lnTo>
                <a:pt x="136" y="2191"/>
              </a:lnTo>
              <a:lnTo>
                <a:pt x="293" y="1940"/>
              </a:lnTo>
              <a:lnTo>
                <a:pt x="38" y="1804"/>
              </a:lnTo>
              <a:lnTo>
                <a:pt x="24" y="1794"/>
              </a:lnTo>
              <a:lnTo>
                <a:pt x="12" y="1780"/>
              </a:lnTo>
              <a:lnTo>
                <a:pt x="4" y="1765"/>
              </a:lnTo>
              <a:lnTo>
                <a:pt x="0" y="1746"/>
              </a:lnTo>
              <a:lnTo>
                <a:pt x="1" y="1728"/>
              </a:lnTo>
              <a:lnTo>
                <a:pt x="6" y="1711"/>
              </a:lnTo>
              <a:lnTo>
                <a:pt x="14" y="1696"/>
              </a:lnTo>
              <a:lnTo>
                <a:pt x="27" y="1683"/>
              </a:lnTo>
              <a:lnTo>
                <a:pt x="257" y="1494"/>
              </a:lnTo>
              <a:lnTo>
                <a:pt x="65" y="1284"/>
              </a:lnTo>
              <a:lnTo>
                <a:pt x="53" y="1270"/>
              </a:lnTo>
              <a:lnTo>
                <a:pt x="47" y="1253"/>
              </a:lnTo>
              <a:lnTo>
                <a:pt x="45" y="1236"/>
              </a:lnTo>
              <a:lnTo>
                <a:pt x="47" y="1218"/>
              </a:lnTo>
              <a:lnTo>
                <a:pt x="53" y="1202"/>
              </a:lnTo>
              <a:lnTo>
                <a:pt x="64" y="1187"/>
              </a:lnTo>
              <a:lnTo>
                <a:pt x="77" y="1175"/>
              </a:lnTo>
              <a:lnTo>
                <a:pt x="93" y="1167"/>
              </a:lnTo>
              <a:lnTo>
                <a:pt x="363" y="1064"/>
              </a:lnTo>
              <a:lnTo>
                <a:pt x="254" y="804"/>
              </a:lnTo>
              <a:lnTo>
                <a:pt x="250" y="785"/>
              </a:lnTo>
              <a:lnTo>
                <a:pt x="249" y="768"/>
              </a:lnTo>
              <a:lnTo>
                <a:pt x="253" y="751"/>
              </a:lnTo>
              <a:lnTo>
                <a:pt x="260" y="735"/>
              </a:lnTo>
              <a:lnTo>
                <a:pt x="273" y="721"/>
              </a:lnTo>
              <a:lnTo>
                <a:pt x="287" y="711"/>
              </a:lnTo>
              <a:lnTo>
                <a:pt x="304" y="704"/>
              </a:lnTo>
              <a:lnTo>
                <a:pt x="321" y="701"/>
              </a:lnTo>
              <a:lnTo>
                <a:pt x="611" y="695"/>
              </a:lnTo>
              <a:lnTo>
                <a:pt x="598" y="402"/>
              </a:lnTo>
              <a:lnTo>
                <a:pt x="600" y="385"/>
              </a:lnTo>
              <a:lnTo>
                <a:pt x="605" y="368"/>
              </a:lnTo>
              <a:lnTo>
                <a:pt x="614" y="354"/>
              </a:lnTo>
              <a:lnTo>
                <a:pt x="627" y="341"/>
              </a:lnTo>
              <a:lnTo>
                <a:pt x="642" y="332"/>
              </a:lnTo>
              <a:lnTo>
                <a:pt x="659" y="327"/>
              </a:lnTo>
              <a:lnTo>
                <a:pt x="676" y="326"/>
              </a:lnTo>
              <a:lnTo>
                <a:pt x="693" y="329"/>
              </a:lnTo>
              <a:lnTo>
                <a:pt x="970" y="416"/>
              </a:lnTo>
              <a:lnTo>
                <a:pt x="1044" y="137"/>
              </a:lnTo>
              <a:lnTo>
                <a:pt x="1050" y="121"/>
              </a:lnTo>
              <a:lnTo>
                <a:pt x="1060" y="106"/>
              </a:lnTo>
              <a:lnTo>
                <a:pt x="1074" y="95"/>
              </a:lnTo>
              <a:lnTo>
                <a:pt x="1090" y="87"/>
              </a:lnTo>
              <a:lnTo>
                <a:pt x="1108" y="83"/>
              </a:lnTo>
              <a:lnTo>
                <a:pt x="1125" y="84"/>
              </a:lnTo>
              <a:lnTo>
                <a:pt x="1143" y="88"/>
              </a:lnTo>
              <a:lnTo>
                <a:pt x="1158" y="97"/>
              </a:lnTo>
              <a:lnTo>
                <a:pt x="1394" y="269"/>
              </a:lnTo>
              <a:lnTo>
                <a:pt x="1562" y="31"/>
              </a:lnTo>
              <a:lnTo>
                <a:pt x="1574" y="18"/>
              </a:lnTo>
              <a:lnTo>
                <a:pt x="1588" y="9"/>
              </a:lnTo>
              <a:lnTo>
                <a:pt x="1604" y="3"/>
              </a:lnTo>
              <a:lnTo>
                <a:pt x="1623" y="0"/>
              </a:lnTo>
              <a:close/>
            </a:path>
          </a:pathLst>
        </a:custGeom>
        <a:solidFill>
          <a:srgbClr val="FFFFFF"/>
        </a:solidFill>
        <a:ln w="0">
          <a:solidFill>
            <a:srgbClr val="FFFFFF"/>
          </a:solidFill>
          <a:prstDash val="solid"/>
          <a:round/>
          <a:headEnd/>
          <a:tailEnd/>
        </a:ln>
      </xdr:spPr>
    </xdr:sp>
    <xdr:clientData fPrintsWithSheet="0"/>
  </xdr:twoCellAnchor>
  <xdr:twoCellAnchor editAs="oneCell">
    <xdr:from>
      <xdr:col>9</xdr:col>
      <xdr:colOff>1806702</xdr:colOff>
      <xdr:row>0</xdr:row>
      <xdr:rowOff>101727</xdr:rowOff>
    </xdr:from>
    <xdr:to>
      <xdr:col>10</xdr:col>
      <xdr:colOff>160655</xdr:colOff>
      <xdr:row>0</xdr:row>
      <xdr:rowOff>313055</xdr:rowOff>
    </xdr:to>
    <xdr:sp macro="" textlink="">
      <xdr:nvSpPr>
        <xdr:cNvPr id="35" name="Forma Livre 62"/>
        <xdr:cNvSpPr>
          <a:spLocks noEditPoints="1"/>
        </xdr:cNvSpPr>
      </xdr:nvSpPr>
      <xdr:spPr bwMode="auto">
        <a:xfrm>
          <a:off x="10236327" y="101727"/>
          <a:ext cx="211328" cy="211328"/>
        </a:xfrm>
        <a:custGeom>
          <a:avLst/>
          <a:gdLst>
            <a:gd name="T0" fmla="*/ 866 w 1889"/>
            <a:gd name="T1" fmla="*/ 1272 h 1877"/>
            <a:gd name="T2" fmla="*/ 799 w 1889"/>
            <a:gd name="T3" fmla="*/ 1339 h 1877"/>
            <a:gd name="T4" fmla="*/ 772 w 1889"/>
            <a:gd name="T5" fmla="*/ 1435 h 1877"/>
            <a:gd name="T6" fmla="*/ 798 w 1889"/>
            <a:gd name="T7" fmla="*/ 1530 h 1877"/>
            <a:gd name="T8" fmla="*/ 866 w 1889"/>
            <a:gd name="T9" fmla="*/ 1597 h 1877"/>
            <a:gd name="T10" fmla="*/ 961 w 1889"/>
            <a:gd name="T11" fmla="*/ 1622 h 1877"/>
            <a:gd name="T12" fmla="*/ 1057 w 1889"/>
            <a:gd name="T13" fmla="*/ 1597 h 1877"/>
            <a:gd name="T14" fmla="*/ 1125 w 1889"/>
            <a:gd name="T15" fmla="*/ 1530 h 1877"/>
            <a:gd name="T16" fmla="*/ 1150 w 1889"/>
            <a:gd name="T17" fmla="*/ 1435 h 1877"/>
            <a:gd name="T18" fmla="*/ 1128 w 1889"/>
            <a:gd name="T19" fmla="*/ 1347 h 1877"/>
            <a:gd name="T20" fmla="*/ 1070 w 1889"/>
            <a:gd name="T21" fmla="*/ 1281 h 1877"/>
            <a:gd name="T22" fmla="*/ 1017 w 1889"/>
            <a:gd name="T23" fmla="*/ 722 h 1877"/>
            <a:gd name="T24" fmla="*/ 1281 w 1889"/>
            <a:gd name="T25" fmla="*/ 532 h 1877"/>
            <a:gd name="T26" fmla="*/ 1448 w 1889"/>
            <a:gd name="T27" fmla="*/ 366 h 1877"/>
            <a:gd name="T28" fmla="*/ 540 w 1889"/>
            <a:gd name="T29" fmla="*/ 616 h 1877"/>
            <a:gd name="T30" fmla="*/ 709 w 1889"/>
            <a:gd name="T31" fmla="*/ 214 h 1877"/>
            <a:gd name="T32" fmla="*/ 808 w 1889"/>
            <a:gd name="T33" fmla="*/ 426 h 1877"/>
            <a:gd name="T34" fmla="*/ 1102 w 1889"/>
            <a:gd name="T35" fmla="*/ 426 h 1877"/>
            <a:gd name="T36" fmla="*/ 1201 w 1889"/>
            <a:gd name="T37" fmla="*/ 214 h 1877"/>
            <a:gd name="T38" fmla="*/ 1020 w 1889"/>
            <a:gd name="T39" fmla="*/ 412 h 1877"/>
            <a:gd name="T40" fmla="*/ 945 w 1889"/>
            <a:gd name="T41" fmla="*/ 0 h 1877"/>
            <a:gd name="T42" fmla="*/ 1171 w 1889"/>
            <a:gd name="T43" fmla="*/ 27 h 1877"/>
            <a:gd name="T44" fmla="*/ 1379 w 1889"/>
            <a:gd name="T45" fmla="*/ 104 h 1877"/>
            <a:gd name="T46" fmla="*/ 1559 w 1889"/>
            <a:gd name="T47" fmla="*/ 226 h 1877"/>
            <a:gd name="T48" fmla="*/ 1707 w 1889"/>
            <a:gd name="T49" fmla="*/ 384 h 1877"/>
            <a:gd name="T50" fmla="*/ 1815 w 1889"/>
            <a:gd name="T51" fmla="*/ 573 h 1877"/>
            <a:gd name="T52" fmla="*/ 1877 w 1889"/>
            <a:gd name="T53" fmla="*/ 787 h 1877"/>
            <a:gd name="T54" fmla="*/ 1886 w 1889"/>
            <a:gd name="T55" fmla="*/ 1015 h 1877"/>
            <a:gd name="T56" fmla="*/ 1840 w 1889"/>
            <a:gd name="T57" fmla="*/ 1235 h 1877"/>
            <a:gd name="T58" fmla="*/ 1748 w 1889"/>
            <a:gd name="T59" fmla="*/ 1433 h 1877"/>
            <a:gd name="T60" fmla="*/ 1612 w 1889"/>
            <a:gd name="T61" fmla="*/ 1602 h 1877"/>
            <a:gd name="T62" fmla="*/ 1442 w 1889"/>
            <a:gd name="T63" fmla="*/ 1736 h 1877"/>
            <a:gd name="T64" fmla="*/ 1243 w 1889"/>
            <a:gd name="T65" fmla="*/ 1829 h 1877"/>
            <a:gd name="T66" fmla="*/ 1022 w 1889"/>
            <a:gd name="T67" fmla="*/ 1874 h 1877"/>
            <a:gd name="T68" fmla="*/ 792 w 1889"/>
            <a:gd name="T69" fmla="*/ 1865 h 1877"/>
            <a:gd name="T70" fmla="*/ 577 w 1889"/>
            <a:gd name="T71" fmla="*/ 1804 h 1877"/>
            <a:gd name="T72" fmla="*/ 387 w 1889"/>
            <a:gd name="T73" fmla="*/ 1696 h 1877"/>
            <a:gd name="T74" fmla="*/ 227 w 1889"/>
            <a:gd name="T75" fmla="*/ 1549 h 1877"/>
            <a:gd name="T76" fmla="*/ 106 w 1889"/>
            <a:gd name="T77" fmla="*/ 1369 h 1877"/>
            <a:gd name="T78" fmla="*/ 28 w 1889"/>
            <a:gd name="T79" fmla="*/ 1164 h 1877"/>
            <a:gd name="T80" fmla="*/ 0 w 1889"/>
            <a:gd name="T81" fmla="*/ 939 h 1877"/>
            <a:gd name="T82" fmla="*/ 28 w 1889"/>
            <a:gd name="T83" fmla="*/ 713 h 1877"/>
            <a:gd name="T84" fmla="*/ 106 w 1889"/>
            <a:gd name="T85" fmla="*/ 508 h 1877"/>
            <a:gd name="T86" fmla="*/ 227 w 1889"/>
            <a:gd name="T87" fmla="*/ 328 h 1877"/>
            <a:gd name="T88" fmla="*/ 387 w 1889"/>
            <a:gd name="T89" fmla="*/ 181 h 1877"/>
            <a:gd name="T90" fmla="*/ 577 w 1889"/>
            <a:gd name="T91" fmla="*/ 73 h 1877"/>
            <a:gd name="T92" fmla="*/ 792 w 1889"/>
            <a:gd name="T93" fmla="*/ 12 h 1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89" h="1877">
              <a:moveTo>
                <a:pt x="897" y="722"/>
              </a:moveTo>
              <a:lnTo>
                <a:pt x="897" y="1259"/>
              </a:lnTo>
              <a:lnTo>
                <a:pt x="866" y="1272"/>
              </a:lnTo>
              <a:lnTo>
                <a:pt x="840" y="1291"/>
              </a:lnTo>
              <a:lnTo>
                <a:pt x="817" y="1313"/>
              </a:lnTo>
              <a:lnTo>
                <a:pt x="799" y="1339"/>
              </a:lnTo>
              <a:lnTo>
                <a:pt x="785" y="1369"/>
              </a:lnTo>
              <a:lnTo>
                <a:pt x="775" y="1400"/>
              </a:lnTo>
              <a:lnTo>
                <a:pt x="772" y="1435"/>
              </a:lnTo>
              <a:lnTo>
                <a:pt x="775" y="1469"/>
              </a:lnTo>
              <a:lnTo>
                <a:pt x="784" y="1500"/>
              </a:lnTo>
              <a:lnTo>
                <a:pt x="798" y="1530"/>
              </a:lnTo>
              <a:lnTo>
                <a:pt x="817" y="1556"/>
              </a:lnTo>
              <a:lnTo>
                <a:pt x="839" y="1578"/>
              </a:lnTo>
              <a:lnTo>
                <a:pt x="866" y="1597"/>
              </a:lnTo>
              <a:lnTo>
                <a:pt x="896" y="1611"/>
              </a:lnTo>
              <a:lnTo>
                <a:pt x="927" y="1619"/>
              </a:lnTo>
              <a:lnTo>
                <a:pt x="961" y="1622"/>
              </a:lnTo>
              <a:lnTo>
                <a:pt x="996" y="1619"/>
              </a:lnTo>
              <a:lnTo>
                <a:pt x="1027" y="1611"/>
              </a:lnTo>
              <a:lnTo>
                <a:pt x="1057" y="1597"/>
              </a:lnTo>
              <a:lnTo>
                <a:pt x="1083" y="1578"/>
              </a:lnTo>
              <a:lnTo>
                <a:pt x="1106" y="1556"/>
              </a:lnTo>
              <a:lnTo>
                <a:pt x="1125" y="1530"/>
              </a:lnTo>
              <a:lnTo>
                <a:pt x="1138" y="1500"/>
              </a:lnTo>
              <a:lnTo>
                <a:pt x="1147" y="1469"/>
              </a:lnTo>
              <a:lnTo>
                <a:pt x="1150" y="1435"/>
              </a:lnTo>
              <a:lnTo>
                <a:pt x="1148" y="1403"/>
              </a:lnTo>
              <a:lnTo>
                <a:pt x="1140" y="1374"/>
              </a:lnTo>
              <a:lnTo>
                <a:pt x="1128" y="1347"/>
              </a:lnTo>
              <a:lnTo>
                <a:pt x="1113" y="1322"/>
              </a:lnTo>
              <a:lnTo>
                <a:pt x="1092" y="1300"/>
              </a:lnTo>
              <a:lnTo>
                <a:pt x="1070" y="1281"/>
              </a:lnTo>
              <a:lnTo>
                <a:pt x="1044" y="1266"/>
              </a:lnTo>
              <a:lnTo>
                <a:pt x="1017" y="1255"/>
              </a:lnTo>
              <a:lnTo>
                <a:pt x="1017" y="722"/>
              </a:lnTo>
              <a:lnTo>
                <a:pt x="897" y="722"/>
              </a:lnTo>
              <a:close/>
              <a:moveTo>
                <a:pt x="1448" y="366"/>
              </a:moveTo>
              <a:lnTo>
                <a:pt x="1281" y="532"/>
              </a:lnTo>
              <a:lnTo>
                <a:pt x="1366" y="616"/>
              </a:lnTo>
              <a:lnTo>
                <a:pt x="1533" y="450"/>
              </a:lnTo>
              <a:lnTo>
                <a:pt x="1448" y="366"/>
              </a:lnTo>
              <a:close/>
              <a:moveTo>
                <a:pt x="459" y="366"/>
              </a:moveTo>
              <a:lnTo>
                <a:pt x="374" y="450"/>
              </a:lnTo>
              <a:lnTo>
                <a:pt x="540" y="616"/>
              </a:lnTo>
              <a:lnTo>
                <a:pt x="625" y="532"/>
              </a:lnTo>
              <a:lnTo>
                <a:pt x="459" y="366"/>
              </a:lnTo>
              <a:close/>
              <a:moveTo>
                <a:pt x="709" y="214"/>
              </a:moveTo>
              <a:lnTo>
                <a:pt x="600" y="264"/>
              </a:lnTo>
              <a:lnTo>
                <a:pt x="699" y="477"/>
              </a:lnTo>
              <a:lnTo>
                <a:pt x="808" y="426"/>
              </a:lnTo>
              <a:lnTo>
                <a:pt x="709" y="214"/>
              </a:lnTo>
              <a:close/>
              <a:moveTo>
                <a:pt x="1201" y="214"/>
              </a:moveTo>
              <a:lnTo>
                <a:pt x="1102" y="426"/>
              </a:lnTo>
              <a:lnTo>
                <a:pt x="1211" y="477"/>
              </a:lnTo>
              <a:lnTo>
                <a:pt x="1310" y="264"/>
              </a:lnTo>
              <a:lnTo>
                <a:pt x="1201" y="214"/>
              </a:lnTo>
              <a:close/>
              <a:moveTo>
                <a:pt x="900" y="179"/>
              </a:moveTo>
              <a:lnTo>
                <a:pt x="900" y="412"/>
              </a:lnTo>
              <a:lnTo>
                <a:pt x="1020" y="412"/>
              </a:lnTo>
              <a:lnTo>
                <a:pt x="1020" y="179"/>
              </a:lnTo>
              <a:lnTo>
                <a:pt x="900" y="179"/>
              </a:lnTo>
              <a:close/>
              <a:moveTo>
                <a:pt x="945" y="0"/>
              </a:moveTo>
              <a:lnTo>
                <a:pt x="1022" y="3"/>
              </a:lnTo>
              <a:lnTo>
                <a:pt x="1097" y="12"/>
              </a:lnTo>
              <a:lnTo>
                <a:pt x="1171" y="27"/>
              </a:lnTo>
              <a:lnTo>
                <a:pt x="1243" y="48"/>
              </a:lnTo>
              <a:lnTo>
                <a:pt x="1312" y="73"/>
              </a:lnTo>
              <a:lnTo>
                <a:pt x="1379" y="104"/>
              </a:lnTo>
              <a:lnTo>
                <a:pt x="1442" y="141"/>
              </a:lnTo>
              <a:lnTo>
                <a:pt x="1502" y="181"/>
              </a:lnTo>
              <a:lnTo>
                <a:pt x="1559" y="226"/>
              </a:lnTo>
              <a:lnTo>
                <a:pt x="1612" y="275"/>
              </a:lnTo>
              <a:lnTo>
                <a:pt x="1662" y="328"/>
              </a:lnTo>
              <a:lnTo>
                <a:pt x="1707" y="384"/>
              </a:lnTo>
              <a:lnTo>
                <a:pt x="1748" y="444"/>
              </a:lnTo>
              <a:lnTo>
                <a:pt x="1784" y="508"/>
              </a:lnTo>
              <a:lnTo>
                <a:pt x="1815" y="573"/>
              </a:lnTo>
              <a:lnTo>
                <a:pt x="1840" y="642"/>
              </a:lnTo>
              <a:lnTo>
                <a:pt x="1862" y="713"/>
              </a:lnTo>
              <a:lnTo>
                <a:pt x="1877" y="787"/>
              </a:lnTo>
              <a:lnTo>
                <a:pt x="1886" y="862"/>
              </a:lnTo>
              <a:lnTo>
                <a:pt x="1889" y="939"/>
              </a:lnTo>
              <a:lnTo>
                <a:pt x="1886" y="1015"/>
              </a:lnTo>
              <a:lnTo>
                <a:pt x="1877" y="1090"/>
              </a:lnTo>
              <a:lnTo>
                <a:pt x="1862" y="1164"/>
              </a:lnTo>
              <a:lnTo>
                <a:pt x="1840" y="1235"/>
              </a:lnTo>
              <a:lnTo>
                <a:pt x="1815" y="1304"/>
              </a:lnTo>
              <a:lnTo>
                <a:pt x="1784" y="1369"/>
              </a:lnTo>
              <a:lnTo>
                <a:pt x="1748" y="1433"/>
              </a:lnTo>
              <a:lnTo>
                <a:pt x="1707" y="1493"/>
              </a:lnTo>
              <a:lnTo>
                <a:pt x="1662" y="1549"/>
              </a:lnTo>
              <a:lnTo>
                <a:pt x="1612" y="1602"/>
              </a:lnTo>
              <a:lnTo>
                <a:pt x="1559" y="1651"/>
              </a:lnTo>
              <a:lnTo>
                <a:pt x="1502" y="1696"/>
              </a:lnTo>
              <a:lnTo>
                <a:pt x="1442" y="1736"/>
              </a:lnTo>
              <a:lnTo>
                <a:pt x="1379" y="1773"/>
              </a:lnTo>
              <a:lnTo>
                <a:pt x="1312" y="1804"/>
              </a:lnTo>
              <a:lnTo>
                <a:pt x="1243" y="1829"/>
              </a:lnTo>
              <a:lnTo>
                <a:pt x="1171" y="1850"/>
              </a:lnTo>
              <a:lnTo>
                <a:pt x="1097" y="1865"/>
              </a:lnTo>
              <a:lnTo>
                <a:pt x="1022" y="1874"/>
              </a:lnTo>
              <a:lnTo>
                <a:pt x="945" y="1877"/>
              </a:lnTo>
              <a:lnTo>
                <a:pt x="867" y="1874"/>
              </a:lnTo>
              <a:lnTo>
                <a:pt x="792" y="1865"/>
              </a:lnTo>
              <a:lnTo>
                <a:pt x="718" y="1850"/>
              </a:lnTo>
              <a:lnTo>
                <a:pt x="646" y="1829"/>
              </a:lnTo>
              <a:lnTo>
                <a:pt x="577" y="1804"/>
              </a:lnTo>
              <a:lnTo>
                <a:pt x="511" y="1773"/>
              </a:lnTo>
              <a:lnTo>
                <a:pt x="447" y="1736"/>
              </a:lnTo>
              <a:lnTo>
                <a:pt x="387" y="1696"/>
              </a:lnTo>
              <a:lnTo>
                <a:pt x="330" y="1651"/>
              </a:lnTo>
              <a:lnTo>
                <a:pt x="277" y="1602"/>
              </a:lnTo>
              <a:lnTo>
                <a:pt x="227" y="1549"/>
              </a:lnTo>
              <a:lnTo>
                <a:pt x="183" y="1493"/>
              </a:lnTo>
              <a:lnTo>
                <a:pt x="142" y="1433"/>
              </a:lnTo>
              <a:lnTo>
                <a:pt x="106" y="1369"/>
              </a:lnTo>
              <a:lnTo>
                <a:pt x="75" y="1304"/>
              </a:lnTo>
              <a:lnTo>
                <a:pt x="49" y="1235"/>
              </a:lnTo>
              <a:lnTo>
                <a:pt x="28" y="1164"/>
              </a:lnTo>
              <a:lnTo>
                <a:pt x="12" y="1090"/>
              </a:lnTo>
              <a:lnTo>
                <a:pt x="3" y="1015"/>
              </a:lnTo>
              <a:lnTo>
                <a:pt x="0" y="939"/>
              </a:lnTo>
              <a:lnTo>
                <a:pt x="3" y="862"/>
              </a:lnTo>
              <a:lnTo>
                <a:pt x="12" y="787"/>
              </a:lnTo>
              <a:lnTo>
                <a:pt x="28" y="713"/>
              </a:lnTo>
              <a:lnTo>
                <a:pt x="49" y="642"/>
              </a:lnTo>
              <a:lnTo>
                <a:pt x="75" y="573"/>
              </a:lnTo>
              <a:lnTo>
                <a:pt x="106" y="508"/>
              </a:lnTo>
              <a:lnTo>
                <a:pt x="142" y="444"/>
              </a:lnTo>
              <a:lnTo>
                <a:pt x="183" y="384"/>
              </a:lnTo>
              <a:lnTo>
                <a:pt x="227" y="328"/>
              </a:lnTo>
              <a:lnTo>
                <a:pt x="277" y="275"/>
              </a:lnTo>
              <a:lnTo>
                <a:pt x="330" y="226"/>
              </a:lnTo>
              <a:lnTo>
                <a:pt x="387" y="181"/>
              </a:lnTo>
              <a:lnTo>
                <a:pt x="447" y="141"/>
              </a:lnTo>
              <a:lnTo>
                <a:pt x="511" y="104"/>
              </a:lnTo>
              <a:lnTo>
                <a:pt x="577" y="73"/>
              </a:lnTo>
              <a:lnTo>
                <a:pt x="646" y="48"/>
              </a:lnTo>
              <a:lnTo>
                <a:pt x="718" y="27"/>
              </a:lnTo>
              <a:lnTo>
                <a:pt x="792" y="12"/>
              </a:lnTo>
              <a:lnTo>
                <a:pt x="867" y="3"/>
              </a:lnTo>
              <a:lnTo>
                <a:pt x="945" y="0"/>
              </a:lnTo>
              <a:close/>
            </a:path>
          </a:pathLst>
        </a:custGeom>
        <a:solidFill>
          <a:schemeClr val="tx2"/>
        </a:solidFill>
        <a:ln w="0">
          <a:solidFill>
            <a:schemeClr val="tx2"/>
          </a:solidFill>
          <a:prstDash val="solid"/>
          <a:round/>
          <a:headEnd/>
          <a:tailEnd/>
        </a:ln>
      </xdr:spPr>
    </xdr:sp>
    <xdr:clientData fPrintsWithSheet="0"/>
  </xdr:twoCellAnchor>
  <xdr:twoCellAnchor>
    <xdr:from>
      <xdr:col>4</xdr:col>
      <xdr:colOff>276224</xdr:colOff>
      <xdr:row>1</xdr:row>
      <xdr:rowOff>57150</xdr:rowOff>
    </xdr:from>
    <xdr:to>
      <xdr:col>11</xdr:col>
      <xdr:colOff>66675</xdr:colOff>
      <xdr:row>2</xdr:row>
      <xdr:rowOff>190500</xdr:rowOff>
    </xdr:to>
    <xdr:sp macro="" textlink="">
      <xdr:nvSpPr>
        <xdr:cNvPr id="10" name="Retângulo 9" descr="Customize the drop down lists on the Budget sheet to fit your needs by modifying the information you see here. Note that you may need to scroll down to view all of the tables." title="Drop down customization tip"/>
        <xdr:cNvSpPr/>
      </xdr:nvSpPr>
      <xdr:spPr>
        <a:xfrm>
          <a:off x="4438649" y="495300"/>
          <a:ext cx="6772276" cy="409575"/>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solidFill>
                <a:schemeClr val="tx2"/>
              </a:solidFill>
            </a:rPr>
            <a:t>Personalize as listas suspensas da planilha Orçamento de acordo com as suas necessidades, modificando as informações que você vê aqui. Observe que pode ser necessário rolar a tela para baixo para exibir todas as tabelas.</a:t>
          </a:r>
        </a:p>
      </xdr:txBody>
    </xdr:sp>
    <xdr:clientData/>
  </xdr:twoCellAnchor>
</xdr:wsDr>
</file>

<file path=xl/tables/table1.xml><?xml version="1.0" encoding="utf-8"?>
<table xmlns="http://schemas.openxmlformats.org/spreadsheetml/2006/main" id="22" name="tblDespesasTransporte23" displayName="tblDespesasTransporte23" ref="A5:D18" totalsRowShown="0" headerRowDxfId="266" dataDxfId="265">
  <tableColumns count="4">
    <tableColumn id="1" name="INVENTÁRIO BRASIL" dataDxfId="264"/>
    <tableColumn id="2" name="R$" dataDxfId="263"/>
    <tableColumn id="3" name="Câmbio" dataDxfId="262">
      <calculatedColumnFormula>$C$3</calculatedColumnFormula>
    </tableColumn>
    <tableColumn id="4" name="NZ $" dataDxfId="261">
      <calculatedColumnFormula>tblDespesasTransporte23[[#This Row],[R$]]/tblDespesasTransporte23[[#This Row],[Câmbio]]</calculatedColumnFormula>
    </tableColumn>
  </tableColumns>
  <tableStyleInfo name="Setup Tables" showFirstColumn="0" showLastColumn="0" showRowStripes="1" showColumnStripes="0"/>
  <extLst>
    <ext xmlns:x14="http://schemas.microsoft.com/office/spreadsheetml/2009/9/main" uri="{504A1905-F514-4f6f-8877-14C23A59335A}">
      <x14:table altText="Transportation expense list" altTextSummary="List of expenses that correspond to the Transportation category."/>
    </ext>
  </extLst>
</table>
</file>

<file path=xl/tables/table10.xml><?xml version="1.0" encoding="utf-8"?>
<table xmlns="http://schemas.openxmlformats.org/spreadsheetml/2006/main" id="7" name="tblCategoriaDespesa_06" displayName="tblCategoriaDespesa_06" ref="B70:P73" headerRowCount="0" totalsRowCount="1">
  <tableColumns count="15">
    <tableColumn id="1" name="Insurance" totalsRowFunction="custom" headerRowDxfId="552" totalsRowDxfId="145">
      <totalsRowFormula>UPPER("Total " &amp; B69)</totalsRowFormula>
    </tableColumn>
    <tableColumn id="2" name="jan" totalsRowFunction="custom" headerRowDxfId="551" totalsRowDxfId="144">
      <totalsRowFormula>SUM(tblCategoriaDespesa_06[jan])</totalsRowFormula>
    </tableColumn>
    <tableColumn id="3" name="feb" totalsRowFunction="custom" headerRowDxfId="550" dataDxfId="549" totalsRowDxfId="143">
      <totalsRowFormula>SUM(tblCategoriaDespesa_06[feb])</totalsRowFormula>
    </tableColumn>
    <tableColumn id="4" name="mar" totalsRowFunction="custom" headerRowDxfId="548" dataDxfId="547" totalsRowDxfId="142">
      <totalsRowFormula>SUM(tblCategoriaDespesa_06[mar])</totalsRowFormula>
    </tableColumn>
    <tableColumn id="5" name="apr" totalsRowFunction="custom" headerRowDxfId="546" dataDxfId="545" totalsRowDxfId="141">
      <totalsRowFormula>SUM(tblCategoriaDespesa_06[apr])</totalsRowFormula>
    </tableColumn>
    <tableColumn id="6" name="may" totalsRowFunction="custom" headerRowDxfId="544" dataDxfId="543" totalsRowDxfId="140">
      <totalsRowFormula>SUM(tblCategoriaDespesa_06[may])</totalsRowFormula>
    </tableColumn>
    <tableColumn id="7" name="jun" totalsRowFunction="custom" headerRowDxfId="542" dataDxfId="541" totalsRowDxfId="139">
      <totalsRowFormula>SUM(tblCategoriaDespesa_06[jun])</totalsRowFormula>
    </tableColumn>
    <tableColumn id="8" name="jul" totalsRowFunction="custom" headerRowDxfId="540" dataDxfId="539" totalsRowDxfId="138">
      <totalsRowFormula>SUM(tblCategoriaDespesa_06[jul])</totalsRowFormula>
    </tableColumn>
    <tableColumn id="9" name="aug" totalsRowFunction="custom" headerRowDxfId="538" dataDxfId="537" totalsRowDxfId="137">
      <totalsRowFormula>SUM(tblCategoriaDespesa_06[aug])</totalsRowFormula>
    </tableColumn>
    <tableColumn id="10" name="sep" totalsRowFunction="custom" headerRowDxfId="536" dataDxfId="535" totalsRowDxfId="136">
      <totalsRowFormula>SUM(tblCategoriaDespesa_06[sep])</totalsRowFormula>
    </tableColumn>
    <tableColumn id="11" name="oct" totalsRowFunction="custom" headerRowDxfId="534" dataDxfId="533" totalsRowDxfId="135">
      <totalsRowFormula>SUM(tblCategoriaDespesa_06[oct])</totalsRowFormula>
    </tableColumn>
    <tableColumn id="12" name="nov" totalsRowFunction="custom" headerRowDxfId="532" dataDxfId="531" totalsRowDxfId="134">
      <totalsRowFormula>SUM(tblCategoriaDespesa_06[nov])</totalsRowFormula>
    </tableColumn>
    <tableColumn id="13" name="dec" totalsRowFunction="custom" headerRowDxfId="530" dataDxfId="529" totalsRowDxfId="133">
      <totalsRowFormula>SUM(tblCategoriaDespesa_06[dec])</totalsRowFormula>
    </tableColumn>
    <tableColumn id="14" name="year" totalsRowFunction="custom" headerRowDxfId="528" dataDxfId="527" totalsRowDxfId="132">
      <calculatedColumnFormula>SUM(tblCategoriaDespesa_06[[#This Row],[jan]:[dec]])</calculatedColumnFormula>
      <totalsRowFormula>SUM(tblCategoriaDespesa_06[year])</totalsRowFormula>
    </tableColumn>
    <tableColumn id="15" name="avg" totalsRowFunction="custom" headerRowDxfId="526" dataDxfId="525" totalsRowDxfId="131">
      <calculatedColumnFormula>tblCategoriaDespesa_06[[#This Row],[year]]/12</calculatedColumnFormula>
      <totalsRowFormula>tblCategoriaDespesa_06[[#Totals],[year]]/12</totalsRowFormula>
    </tableColumn>
  </tableColumns>
  <tableStyleInfo name="Budget Tables" showFirstColumn="1" showLastColumn="0" showRowStripes="1" showColumnStripes="0"/>
  <extLst>
    <ext xmlns:x14="http://schemas.microsoft.com/office/spreadsheetml/2009/9/main" uri="{504A1905-F514-4f6f-8877-14C23A59335A}">
      <x14:table altText="Insurance expenses" altTextSummary="List of insurance expenses by month such as Auto, Health, Life, etc."/>
    </ext>
  </extLst>
</table>
</file>

<file path=xl/tables/table11.xml><?xml version="1.0" encoding="utf-8"?>
<table xmlns="http://schemas.openxmlformats.org/spreadsheetml/2006/main" id="8" name="tblCategoriaDespesa_07" displayName="tblCategoriaDespesa_07" ref="B77:P81" headerRowCount="0" totalsRowCount="1">
  <tableColumns count="15">
    <tableColumn id="1" name="Education" totalsRowFunction="custom" headerRowDxfId="524" totalsRowDxfId="60">
      <totalsRowFormula>UPPER("Total " &amp; B76)</totalsRowFormula>
    </tableColumn>
    <tableColumn id="2" name="jan" totalsRowFunction="custom" headerRowDxfId="523" dataDxfId="522" totalsRowDxfId="59">
      <calculatedColumnFormula>200*2</calculatedColumnFormula>
      <totalsRowFormula>SUM(tblCategoriaDespesa_07[jan])</totalsRowFormula>
    </tableColumn>
    <tableColumn id="3" name="feb" totalsRowFunction="custom" headerRowDxfId="521" totalsRowDxfId="58">
      <totalsRowFormula>SUM(tblCategoriaDespesa_07[feb])</totalsRowFormula>
    </tableColumn>
    <tableColumn id="4" name="mar" totalsRowFunction="custom" headerRowDxfId="520" totalsRowDxfId="57">
      <totalsRowFormula>SUM(tblCategoriaDespesa_07[mar])</totalsRowFormula>
    </tableColumn>
    <tableColumn id="5" name="apr" totalsRowFunction="custom" headerRowDxfId="519" totalsRowDxfId="56">
      <totalsRowFormula>SUM(tblCategoriaDespesa_07[apr])</totalsRowFormula>
    </tableColumn>
    <tableColumn id="6" name="may" totalsRowFunction="custom" headerRowDxfId="518" totalsRowDxfId="55">
      <totalsRowFormula>SUM(tblCategoriaDespesa_07[may])</totalsRowFormula>
    </tableColumn>
    <tableColumn id="7" name="jun" totalsRowFunction="custom" headerRowDxfId="517" dataDxfId="516" totalsRowDxfId="54">
      <calculatedColumnFormula>'Gastos Antes'!D8</calculatedColumnFormula>
      <totalsRowFormula>SUM(tblCategoriaDespesa_07[jun])</totalsRowFormula>
    </tableColumn>
    <tableColumn id="8" name="jul" totalsRowFunction="custom" headerRowDxfId="515" totalsRowDxfId="53">
      <totalsRowFormula>SUM(tblCategoriaDespesa_07[jul])</totalsRowFormula>
    </tableColumn>
    <tableColumn id="9" name="aug" totalsRowFunction="custom" headerRowDxfId="514" totalsRowDxfId="52">
      <totalsRowFormula>SUM(tblCategoriaDespesa_07[aug])</totalsRowFormula>
    </tableColumn>
    <tableColumn id="10" name="sep" totalsRowFunction="custom" headerRowDxfId="513" totalsRowDxfId="51">
      <totalsRowFormula>SUM(tblCategoriaDespesa_07[sep])</totalsRowFormula>
    </tableColumn>
    <tableColumn id="11" name="oct" totalsRowFunction="custom" headerRowDxfId="512" totalsRowDxfId="50">
      <totalsRowFormula>SUM(tblCategoriaDespesa_07[oct])</totalsRowFormula>
    </tableColumn>
    <tableColumn id="12" name="nov" totalsRowFunction="custom" headerRowDxfId="511" totalsRowDxfId="49">
      <totalsRowFormula>SUM(tblCategoriaDespesa_07[nov])</totalsRowFormula>
    </tableColumn>
    <tableColumn id="13" name="dec" totalsRowFunction="custom" headerRowDxfId="510" totalsRowDxfId="48">
      <totalsRowFormula>SUM(tblCategoriaDespesa_07[dec])</totalsRowFormula>
    </tableColumn>
    <tableColumn id="14" name="year" totalsRowFunction="custom" headerRowDxfId="509" dataDxfId="508" totalsRowDxfId="47">
      <calculatedColumnFormula>SUM(tblCategoriaDespesa_07[[#This Row],[jan]:[dec]])</calculatedColumnFormula>
      <totalsRowFormula>SUM(tblCategoriaDespesa_07[year])</totalsRowFormula>
    </tableColumn>
    <tableColumn id="15" name="avg" totalsRowFunction="custom" headerRowDxfId="507" dataDxfId="506" totalsRowDxfId="46">
      <calculatedColumnFormula>tblCategoriaDespesa_07[[#This Row],[year]]/12</calculatedColumnFormula>
      <totalsRowFormula>tblCategoriaDespesa_07[[#Totals],[year]]/12</totalsRowFormula>
    </tableColumn>
  </tableColumns>
  <tableStyleInfo name="Budget Tables" showFirstColumn="1" showLastColumn="0" showRowStripes="1" showColumnStripes="0"/>
  <extLst>
    <ext xmlns:x14="http://schemas.microsoft.com/office/spreadsheetml/2009/9/main" uri="{504A1905-F514-4f6f-8877-14C23A59335A}">
      <x14:table altText="Education expenses" altTextSummary="List of education expenses such as, Tuition, Books, etc."/>
    </ext>
  </extLst>
</table>
</file>

<file path=xl/tables/table12.xml><?xml version="1.0" encoding="utf-8"?>
<table xmlns="http://schemas.openxmlformats.org/spreadsheetml/2006/main" id="9" name="tblCategoriaDespesa_08" displayName="tblCategoriaDespesa_08" ref="B85:P91" headerRowCount="0" totalsRowCount="1">
  <tableColumns count="15">
    <tableColumn id="1" name="Charity" totalsRowFunction="custom" headerRowDxfId="505" totalsRowDxfId="45">
      <totalsRowFormula>UPPER("Total " &amp; B84)</totalsRowFormula>
    </tableColumn>
    <tableColumn id="2" name="jan" totalsRowFunction="custom" headerRowDxfId="504" totalsRowDxfId="44">
      <totalsRowFormula>SUM(tblCategoriaDespesa_08[jan])</totalsRowFormula>
    </tableColumn>
    <tableColumn id="3" name="feb" totalsRowFunction="custom" headerRowDxfId="503" totalsRowDxfId="43">
      <totalsRowFormula>SUM(tblCategoriaDespesa_08[feb])</totalsRowFormula>
    </tableColumn>
    <tableColumn id="4" name="mar" totalsRowFunction="custom" headerRowDxfId="502" totalsRowDxfId="42">
      <totalsRowFormula>SUM(tblCategoriaDespesa_08[mar])</totalsRowFormula>
    </tableColumn>
    <tableColumn id="5" name="apr" totalsRowFunction="custom" headerRowDxfId="501" totalsRowDxfId="41">
      <totalsRowFormula>SUM(tblCategoriaDespesa_08[apr])</totalsRowFormula>
    </tableColumn>
    <tableColumn id="6" name="may" totalsRowFunction="custom" headerRowDxfId="500" totalsRowDxfId="40">
      <totalsRowFormula>SUM(tblCategoriaDespesa_08[may])</totalsRowFormula>
    </tableColumn>
    <tableColumn id="7" name="jun" totalsRowFunction="custom" headerRowDxfId="499" totalsRowDxfId="39">
      <totalsRowFormula>SUM(tblCategoriaDespesa_08[jun])</totalsRowFormula>
    </tableColumn>
    <tableColumn id="8" name="jul" totalsRowFunction="custom" headerRowDxfId="498" totalsRowDxfId="38">
      <totalsRowFormula>SUM(tblCategoriaDespesa_08[jul])</totalsRowFormula>
    </tableColumn>
    <tableColumn id="9" name="aug" totalsRowFunction="custom" headerRowDxfId="497" totalsRowDxfId="37">
      <totalsRowFormula>SUM(tblCategoriaDespesa_08[aug])</totalsRowFormula>
    </tableColumn>
    <tableColumn id="10" name="sep" totalsRowFunction="custom" headerRowDxfId="496" totalsRowDxfId="36">
      <totalsRowFormula>SUM(tblCategoriaDespesa_08[sep])</totalsRowFormula>
    </tableColumn>
    <tableColumn id="11" name="oct" totalsRowFunction="custom" headerRowDxfId="495" totalsRowDxfId="35">
      <totalsRowFormula>SUM(tblCategoriaDespesa_08[oct])</totalsRowFormula>
    </tableColumn>
    <tableColumn id="12" name="nov" totalsRowFunction="custom" headerRowDxfId="494" totalsRowDxfId="34">
      <totalsRowFormula>SUM(tblCategoriaDespesa_08[nov])</totalsRowFormula>
    </tableColumn>
    <tableColumn id="13" name="dec" totalsRowFunction="custom" headerRowDxfId="493" totalsRowDxfId="33">
      <totalsRowFormula>SUM(tblCategoriaDespesa_08[dec])</totalsRowFormula>
    </tableColumn>
    <tableColumn id="14" name="year" totalsRowFunction="custom" headerRowDxfId="492" dataDxfId="491" totalsRowDxfId="32">
      <calculatedColumnFormula>SUM(tblCategoriaDespesa_08[[#This Row],[jan]:[dec]])</calculatedColumnFormula>
      <totalsRowFormula>SUM(tblCategoriaDespesa_08[year])</totalsRowFormula>
    </tableColumn>
    <tableColumn id="15" name="avg" totalsRowFunction="custom" headerRowDxfId="490" dataDxfId="489" totalsRowDxfId="31">
      <calculatedColumnFormula>tblCategoriaDespesa_08[[#This Row],[year]]/12</calculatedColumnFormula>
      <totalsRowFormula>tblCategoriaDespesa_08[[#Totals],[year]]/12</totalsRowFormula>
    </tableColumn>
  </tableColumns>
  <tableStyleInfo name="Budget Tables" showFirstColumn="1" showLastColumn="0" showRowStripes="1" showColumnStripes="0"/>
  <extLst>
    <ext xmlns:x14="http://schemas.microsoft.com/office/spreadsheetml/2009/9/main" uri="{504A1905-F514-4f6f-8877-14C23A59335A}">
      <x14:table altText="Charity expenses" altTextSummary="List of charity expenses by month such as, Gifts, Charitable Donations, etc. "/>
    </ext>
  </extLst>
</table>
</file>

<file path=xl/tables/table13.xml><?xml version="1.0" encoding="utf-8"?>
<table xmlns="http://schemas.openxmlformats.org/spreadsheetml/2006/main" id="10" name="tblCategoriaDespesa_09" displayName="tblCategoriaDespesa_09" ref="B95:P98" headerRowCount="0" totalsRowCount="1">
  <tableColumns count="15">
    <tableColumn id="1" name="Savings" totalsRowFunction="custom" headerRowDxfId="488" totalsRowDxfId="30">
      <totalsRowFormula>UPPER("Total " &amp; B94)</totalsRowFormula>
    </tableColumn>
    <tableColumn id="2" name="jan" totalsRowFunction="custom" headerRowDxfId="487" totalsRowDxfId="29">
      <totalsRowFormula>SUM(tblCategoriaDespesa_09[jan])</totalsRowFormula>
    </tableColumn>
    <tableColumn id="3" name="feb" totalsRowFunction="custom" headerRowDxfId="486" totalsRowDxfId="28">
      <totalsRowFormula>SUM(tblCategoriaDespesa_09[feb])</totalsRowFormula>
    </tableColumn>
    <tableColumn id="4" name="mar" totalsRowFunction="custom" headerRowDxfId="485" totalsRowDxfId="27">
      <totalsRowFormula>SUM(tblCategoriaDespesa_09[mar])</totalsRowFormula>
    </tableColumn>
    <tableColumn id="5" name="apr" totalsRowFunction="custom" headerRowDxfId="484" totalsRowDxfId="26">
      <totalsRowFormula>SUM(tblCategoriaDespesa_09[apr])</totalsRowFormula>
    </tableColumn>
    <tableColumn id="6" name="may" totalsRowFunction="custom" headerRowDxfId="483" totalsRowDxfId="25">
      <totalsRowFormula>SUM(tblCategoriaDespesa_09[may])</totalsRowFormula>
    </tableColumn>
    <tableColumn id="7" name="jun" totalsRowFunction="custom" headerRowDxfId="482" totalsRowDxfId="24">
      <totalsRowFormula>SUM(tblCategoriaDespesa_09[jun])</totalsRowFormula>
    </tableColumn>
    <tableColumn id="8" name="jul" totalsRowFunction="custom" headerRowDxfId="481" totalsRowDxfId="23">
      <totalsRowFormula>SUM(tblCategoriaDespesa_09[jul])</totalsRowFormula>
    </tableColumn>
    <tableColumn id="9" name="aug" totalsRowFunction="custom" headerRowDxfId="480" totalsRowDxfId="22">
      <totalsRowFormula>SUM(tblCategoriaDespesa_09[aug])</totalsRowFormula>
    </tableColumn>
    <tableColumn id="10" name="sep" totalsRowFunction="custom" headerRowDxfId="479" totalsRowDxfId="21">
      <totalsRowFormula>SUM(tblCategoriaDespesa_09[sep])</totalsRowFormula>
    </tableColumn>
    <tableColumn id="11" name="oct" totalsRowFunction="custom" headerRowDxfId="478" totalsRowDxfId="20">
      <totalsRowFormula>SUM(tblCategoriaDespesa_09[oct])</totalsRowFormula>
    </tableColumn>
    <tableColumn id="12" name="nov" totalsRowFunction="custom" headerRowDxfId="477" totalsRowDxfId="19">
      <totalsRowFormula>SUM(tblCategoriaDespesa_09[nov])</totalsRowFormula>
    </tableColumn>
    <tableColumn id="13" name="dec" totalsRowFunction="custom" headerRowDxfId="476" totalsRowDxfId="18">
      <totalsRowFormula>SUM(tblCategoriaDespesa_09[dec])</totalsRowFormula>
    </tableColumn>
    <tableColumn id="14" name="year" totalsRowFunction="custom" headerRowDxfId="475" dataDxfId="474" totalsRowDxfId="17">
      <calculatedColumnFormula>SUM(tblCategoriaDespesa_09[[#This Row],[jan]:[dec]])</calculatedColumnFormula>
      <totalsRowFormula>SUM(tblCategoriaDespesa_09[year])</totalsRowFormula>
    </tableColumn>
    <tableColumn id="15" name="avg" totalsRowFunction="custom" headerRowDxfId="473" dataDxfId="472" totalsRowDxfId="16">
      <calculatedColumnFormula>tblCategoriaDespesa_09[[#This Row],[year]]/12</calculatedColumnFormula>
      <totalsRowFormula>tblCategoriaDespesa_09[[#Totals],[year]]/12</totalsRowFormula>
    </tableColumn>
  </tableColumns>
  <tableStyleInfo name="Budget Tables" showFirstColumn="1" showLastColumn="0" showRowStripes="1" showColumnStripes="0"/>
  <extLst>
    <ext xmlns:x14="http://schemas.microsoft.com/office/spreadsheetml/2009/9/main" uri="{504A1905-F514-4f6f-8877-14C23A59335A}">
      <x14:table altText="Savings" altTextSummary="List of savings by month such as, Emergency Fund, Retirement, etc."/>
    </ext>
  </extLst>
</table>
</file>

<file path=xl/tables/table14.xml><?xml version="1.0" encoding="utf-8"?>
<table xmlns="http://schemas.openxmlformats.org/spreadsheetml/2006/main" id="11" name="tblCategoriaDespesa_10" displayName="tblCategoriaDespesa_10" ref="B102:P107" headerRowCount="0" totalsRowCount="1">
  <tableColumns count="15">
    <tableColumn id="1" name="Obligations" totalsRowFunction="custom" headerRowDxfId="471" dataDxfId="15" totalsRowDxfId="14">
      <totalsRowFormula>UPPER("Total " &amp; B101)</totalsRowFormula>
    </tableColumn>
    <tableColumn id="2" name="jan" totalsRowFunction="custom" headerRowDxfId="470" totalsRowDxfId="13">
      <totalsRowFormula>SUM(tblCategoriaDespesa_10[jan])</totalsRowFormula>
    </tableColumn>
    <tableColumn id="3" name="feb" totalsRowFunction="custom" headerRowDxfId="469" dataDxfId="468" totalsRowDxfId="12">
      <totalsRowFormula>SUM(tblCategoriaDespesa_10[feb])</totalsRowFormula>
    </tableColumn>
    <tableColumn id="4" name="mar" totalsRowFunction="custom" headerRowDxfId="467" dataDxfId="466" totalsRowDxfId="11">
      <totalsRowFormula>SUM(tblCategoriaDespesa_10[mar])</totalsRowFormula>
    </tableColumn>
    <tableColumn id="5" name="apr" totalsRowFunction="custom" headerRowDxfId="465" dataDxfId="464" totalsRowDxfId="10">
      <totalsRowFormula>SUM(tblCategoriaDespesa_10[apr])</totalsRowFormula>
    </tableColumn>
    <tableColumn id="6" name="may" totalsRowFunction="custom" headerRowDxfId="463" dataDxfId="462" totalsRowDxfId="9">
      <totalsRowFormula>SUM(tblCategoriaDespesa_10[may])</totalsRowFormula>
    </tableColumn>
    <tableColumn id="7" name="jun" totalsRowFunction="custom" headerRowDxfId="461" dataDxfId="460" totalsRowDxfId="8">
      <totalsRowFormula>SUM(tblCategoriaDespesa_10[jun])</totalsRowFormula>
    </tableColumn>
    <tableColumn id="8" name="jul" totalsRowFunction="custom" headerRowDxfId="459" dataDxfId="458" totalsRowDxfId="7">
      <totalsRowFormula>SUM(tblCategoriaDespesa_10[jul])</totalsRowFormula>
    </tableColumn>
    <tableColumn id="9" name="aug" totalsRowFunction="custom" headerRowDxfId="457" dataDxfId="456" totalsRowDxfId="6">
      <totalsRowFormula>SUM(tblCategoriaDespesa_10[aug])</totalsRowFormula>
    </tableColumn>
    <tableColumn id="10" name="sep" totalsRowFunction="custom" headerRowDxfId="455" dataDxfId="454" totalsRowDxfId="5">
      <totalsRowFormula>SUM(tblCategoriaDespesa_10[sep])</totalsRowFormula>
    </tableColumn>
    <tableColumn id="11" name="oct" totalsRowFunction="custom" headerRowDxfId="453" dataDxfId="452" totalsRowDxfId="4">
      <totalsRowFormula>SUM(tblCategoriaDespesa_10[oct])</totalsRowFormula>
    </tableColumn>
    <tableColumn id="12" name="nov" totalsRowFunction="custom" headerRowDxfId="451" dataDxfId="450" totalsRowDxfId="3">
      <totalsRowFormula>SUM(tblCategoriaDespesa_10[nov])</totalsRowFormula>
    </tableColumn>
    <tableColumn id="13" name="dec" totalsRowFunction="custom" headerRowDxfId="449" dataDxfId="448" totalsRowDxfId="2">
      <totalsRowFormula>SUM(tblCategoriaDespesa_10[dec])</totalsRowFormula>
    </tableColumn>
    <tableColumn id="14" name="year" totalsRowFunction="custom" headerRowDxfId="447" dataDxfId="446" totalsRowDxfId="1">
      <calculatedColumnFormula>SUM(tblCategoriaDespesa_10[[#This Row],[jan]:[dec]])</calculatedColumnFormula>
      <totalsRowFormula>SUM(tblCategoriaDespesa_10[year])</totalsRowFormula>
    </tableColumn>
    <tableColumn id="15" name="avg" totalsRowFunction="custom" headerRowDxfId="445" dataDxfId="444" totalsRowDxfId="0">
      <calculatedColumnFormula>tblCategoriaDespesa_10[[#This Row],[year]]/12</calculatedColumnFormula>
      <totalsRowFormula>tblCategoriaDespesa_10[[#Totals],[year]]/12</totalsRowFormula>
    </tableColumn>
  </tableColumns>
  <tableStyleInfo name="Budget Tables" showFirstColumn="1" showLastColumn="0" showRowStripes="1" showColumnStripes="0"/>
  <extLst>
    <ext xmlns:x14="http://schemas.microsoft.com/office/spreadsheetml/2009/9/main" uri="{504A1905-F514-4f6f-8877-14C23A59335A}">
      <x14:table altText="Obligation expenses" altTextSummary="List obligation expenses by month such as, Credit Card #1, Federal Taxes, Student Loans, etc."/>
    </ext>
  </extLst>
</table>
</file>

<file path=xl/tables/table15.xml><?xml version="1.0" encoding="utf-8"?>
<table xmlns="http://schemas.openxmlformats.org/spreadsheetml/2006/main" id="12" name="tblCategoriaDespesa_11" displayName="tblCategoriaDespesa_11" ref="B111:P114" headerRowCount="0" totalsRowCount="1">
  <tableColumns count="15">
    <tableColumn id="1" name=" " totalsRowFunction="custom" headerRowDxfId="443" totalsRowDxfId="442">
      <totalsRowFormula>UPPER("Total " &amp; B110)</totalsRowFormula>
    </tableColumn>
    <tableColumn id="2" name="jan" totalsRowFunction="custom" headerRowDxfId="441" totalsRowDxfId="440">
      <totalsRowFormula>SUM(tblCategoriaDespesa_11[jan])</totalsRowFormula>
    </tableColumn>
    <tableColumn id="3" name="feb" totalsRowFunction="custom" headerRowDxfId="439" totalsRowDxfId="438">
      <totalsRowFormula>SUM(tblCategoriaDespesa_11[feb])</totalsRowFormula>
    </tableColumn>
    <tableColumn id="4" name="mar" totalsRowFunction="custom" headerRowDxfId="437" totalsRowDxfId="436">
      <totalsRowFormula>SUM(tblCategoriaDespesa_11[mar])</totalsRowFormula>
    </tableColumn>
    <tableColumn id="5" name="apr" totalsRowFunction="custom" headerRowDxfId="435" totalsRowDxfId="434">
      <totalsRowFormula>SUM(tblCategoriaDespesa_11[apr])</totalsRowFormula>
    </tableColumn>
    <tableColumn id="6" name="may" totalsRowFunction="custom" headerRowDxfId="433" totalsRowDxfId="432">
      <totalsRowFormula>SUM(tblCategoriaDespesa_11[may])</totalsRowFormula>
    </tableColumn>
    <tableColumn id="7" name="jun" totalsRowFunction="custom" headerRowDxfId="431" totalsRowDxfId="430">
      <totalsRowFormula>SUM(tblCategoriaDespesa_11[jun])</totalsRowFormula>
    </tableColumn>
    <tableColumn id="8" name="jul" totalsRowFunction="custom" headerRowDxfId="429" totalsRowDxfId="428">
      <totalsRowFormula>SUM(tblCategoriaDespesa_11[jul])</totalsRowFormula>
    </tableColumn>
    <tableColumn id="9" name="aug" totalsRowFunction="custom" headerRowDxfId="427" totalsRowDxfId="426">
      <totalsRowFormula>SUM(tblCategoriaDespesa_11[aug])</totalsRowFormula>
    </tableColumn>
    <tableColumn id="10" name="sep" totalsRowFunction="custom" headerRowDxfId="425" totalsRowDxfId="424">
      <totalsRowFormula>SUM(tblCategoriaDespesa_11[sep])</totalsRowFormula>
    </tableColumn>
    <tableColumn id="11" name="oct" totalsRowFunction="custom" headerRowDxfId="423" totalsRowDxfId="422">
      <totalsRowFormula>SUM(tblCategoriaDespesa_11[oct])</totalsRowFormula>
    </tableColumn>
    <tableColumn id="12" name="nov" totalsRowFunction="custom" headerRowDxfId="421" totalsRowDxfId="420">
      <totalsRowFormula>SUM(tblCategoriaDespesa_11[nov])</totalsRowFormula>
    </tableColumn>
    <tableColumn id="13" name="dec" totalsRowFunction="custom" headerRowDxfId="419" totalsRowDxfId="418">
      <totalsRowFormula>SUM(tblCategoriaDespesa_11[dec])</totalsRowFormula>
    </tableColumn>
    <tableColumn id="14" name="year" totalsRowFunction="custom" headerRowDxfId="417" dataDxfId="416" totalsRowDxfId="415">
      <calculatedColumnFormula>SUM(tblCategoriaDespesa_11[[#This Row],[jan]:[dec]])</calculatedColumnFormula>
      <totalsRowFormula>SUM(tblCategoriaDespesa_11[year])</totalsRowFormula>
    </tableColumn>
    <tableColumn id="15" name="avg" totalsRowFunction="custom" headerRowDxfId="414" dataDxfId="413" totalsRowDxfId="412">
      <calculatedColumnFormula>tblCategoriaDespesa_11[[#This Row],[year]]/12</calculatedColumnFormula>
      <totalsRowFormula>tblCategoriaDespesa_11[[#Totals],[year]]/12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6.xml><?xml version="1.0" encoding="utf-8"?>
<table xmlns="http://schemas.openxmlformats.org/spreadsheetml/2006/main" id="13" name="tblCategoriaDespesa_12" displayName="tblCategoriaDespesa_12" ref="B118:P121" headerRowCount="0" totalsRowCount="1">
  <tableColumns count="15">
    <tableColumn id="1" name=" " totalsRowFunction="custom" headerRowDxfId="411" totalsRowDxfId="410">
      <totalsRowFormula>UPPER("Total " &amp; B117)</totalsRowFormula>
    </tableColumn>
    <tableColumn id="2" name="jan" totalsRowFunction="custom" headerRowDxfId="409" totalsRowDxfId="408">
      <totalsRowFormula>SUM(tblCategoriaDespesa_12[jan])</totalsRowFormula>
    </tableColumn>
    <tableColumn id="3" name="feb" totalsRowFunction="custom" headerRowDxfId="407" totalsRowDxfId="406">
      <totalsRowFormula>SUM(tblCategoriaDespesa_12[feb])</totalsRowFormula>
    </tableColumn>
    <tableColumn id="4" name="mar" totalsRowFunction="custom" headerRowDxfId="405" totalsRowDxfId="404">
      <totalsRowFormula>SUM(tblCategoriaDespesa_12[mar])</totalsRowFormula>
    </tableColumn>
    <tableColumn id="5" name="apr" totalsRowFunction="custom" headerRowDxfId="403" totalsRowDxfId="402">
      <totalsRowFormula>SUM(tblCategoriaDespesa_12[apr])</totalsRowFormula>
    </tableColumn>
    <tableColumn id="6" name="may" totalsRowFunction="custom" headerRowDxfId="401" totalsRowDxfId="400">
      <totalsRowFormula>SUM(tblCategoriaDespesa_12[may])</totalsRowFormula>
    </tableColumn>
    <tableColumn id="7" name="jun" totalsRowFunction="custom" headerRowDxfId="399" totalsRowDxfId="398">
      <totalsRowFormula>SUM(tblCategoriaDespesa_12[jun])</totalsRowFormula>
    </tableColumn>
    <tableColumn id="8" name="jul" totalsRowFunction="custom" headerRowDxfId="397" totalsRowDxfId="396">
      <totalsRowFormula>SUM(tblCategoriaDespesa_12[jul])</totalsRowFormula>
    </tableColumn>
    <tableColumn id="9" name="aug" totalsRowFunction="custom" headerRowDxfId="395" totalsRowDxfId="394">
      <totalsRowFormula>SUM(tblCategoriaDespesa_12[aug])</totalsRowFormula>
    </tableColumn>
    <tableColumn id="10" name="sep" totalsRowFunction="custom" headerRowDxfId="393" totalsRowDxfId="392">
      <totalsRowFormula>SUM(tblCategoriaDespesa_12[sep])</totalsRowFormula>
    </tableColumn>
    <tableColumn id="11" name="oct" totalsRowFunction="custom" headerRowDxfId="391" totalsRowDxfId="390">
      <totalsRowFormula>SUM(tblCategoriaDespesa_12[oct])</totalsRowFormula>
    </tableColumn>
    <tableColumn id="12" name="nov" totalsRowFunction="custom" headerRowDxfId="389" totalsRowDxfId="388">
      <totalsRowFormula>SUM(tblCategoriaDespesa_12[nov])</totalsRowFormula>
    </tableColumn>
    <tableColumn id="13" name="dec" totalsRowFunction="custom" headerRowDxfId="387" totalsRowDxfId="386">
      <totalsRowFormula>SUM(tblCategoriaDespesa_12[dec])</totalsRowFormula>
    </tableColumn>
    <tableColumn id="14" name="year" totalsRowFunction="custom" headerRowDxfId="385" dataDxfId="384" totalsRowDxfId="383">
      <calculatedColumnFormula>SUM(tblCategoriaDespesa_12[[#This Row],[jan]:[dec]])</calculatedColumnFormula>
      <totalsRowFormula>SUM(tblCategoriaDespesa_12[year])</totalsRowFormula>
    </tableColumn>
    <tableColumn id="15" name="avg" totalsRowFunction="custom" headerRowDxfId="382" dataDxfId="381" totalsRowDxfId="380">
      <calculatedColumnFormula>tblCategoriaDespesa_12[[#This Row],[year]]/12</calculatedColumnFormula>
      <totalsRowFormula>tblCategoriaDespesa_12[[#Totals],[year]]/12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7.xml><?xml version="1.0" encoding="utf-8"?>
<table xmlns="http://schemas.openxmlformats.org/spreadsheetml/2006/main" id="14" name="tblCategoriaDespesa_13" displayName="tblCategoriaDespesa_13" ref="B125:P128" headerRowCount="0" totalsRowCount="1">
  <tableColumns count="15">
    <tableColumn id="1" name=" " totalsRowFunction="custom" headerRowDxfId="379">
      <totalsRowFormula>UPPER("Total " &amp; B124)</totalsRowFormula>
    </tableColumn>
    <tableColumn id="2" name="jan" totalsRowFunction="custom" headerRowDxfId="378">
      <totalsRowFormula>SUM(tblCategoriaDespesa_13[jan])</totalsRowFormula>
    </tableColumn>
    <tableColumn id="3" name="feb" totalsRowFunction="custom" headerRowDxfId="377">
      <totalsRowFormula>SUM(tblCategoriaDespesa_13[feb])</totalsRowFormula>
    </tableColumn>
    <tableColumn id="4" name="mar" totalsRowFunction="custom" headerRowDxfId="376">
      <totalsRowFormula>SUM(tblCategoriaDespesa_13[mar])</totalsRowFormula>
    </tableColumn>
    <tableColumn id="5" name="apr" totalsRowFunction="custom" headerRowDxfId="375">
      <totalsRowFormula>SUM(tblCategoriaDespesa_13[apr])</totalsRowFormula>
    </tableColumn>
    <tableColumn id="6" name="may" totalsRowFunction="custom" headerRowDxfId="374">
      <totalsRowFormula>SUM(tblCategoriaDespesa_13[may])</totalsRowFormula>
    </tableColumn>
    <tableColumn id="7" name="jun" totalsRowFunction="custom" headerRowDxfId="373">
      <totalsRowFormula>SUM(tblCategoriaDespesa_13[jun])</totalsRowFormula>
    </tableColumn>
    <tableColumn id="8" name="jul" totalsRowFunction="custom" headerRowDxfId="372">
      <totalsRowFormula>SUM(tblCategoriaDespesa_13[jul])</totalsRowFormula>
    </tableColumn>
    <tableColumn id="9" name="aug" totalsRowFunction="custom" headerRowDxfId="371">
      <totalsRowFormula>SUM(tblCategoriaDespesa_13[aug])</totalsRowFormula>
    </tableColumn>
    <tableColumn id="10" name="sep" totalsRowFunction="custom" headerRowDxfId="370">
      <totalsRowFormula>SUM(tblCategoriaDespesa_13[sep])</totalsRowFormula>
    </tableColumn>
    <tableColumn id="11" name="oct" totalsRowFunction="custom" headerRowDxfId="369">
      <totalsRowFormula>SUM(tblCategoriaDespesa_13[oct])</totalsRowFormula>
    </tableColumn>
    <tableColumn id="12" name="nov" totalsRowFunction="custom" headerRowDxfId="368">
      <totalsRowFormula>SUM(tblCategoriaDespesa_13[nov])</totalsRowFormula>
    </tableColumn>
    <tableColumn id="13" name="dec" totalsRowFunction="custom" headerRowDxfId="367">
      <totalsRowFormula>SUM(tblCategoriaDespesa_13[dec])</totalsRowFormula>
    </tableColumn>
    <tableColumn id="14" name="year" totalsRowFunction="custom" headerRowDxfId="366" dataDxfId="365" totalsRowDxfId="364">
      <calculatedColumnFormula>SUM(tblCategoriaDespesa_13[[#This Row],[jan]:[dec]])</calculatedColumnFormula>
      <totalsRowFormula>SUM(tblCategoriaDespesa_13[year])</totalsRowFormula>
    </tableColumn>
    <tableColumn id="15" name="avg" totalsRowFunction="custom" headerRowDxfId="363" dataDxfId="362" totalsRowDxfId="361">
      <calculatedColumnFormula>tblCategoriaDespesa_13[[#This Row],[year]]/12</calculatedColumnFormula>
      <totalsRowFormula>tblCategoriaDespesa_13[[#Totals],[year]]/12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8.xml><?xml version="1.0" encoding="utf-8"?>
<table xmlns="http://schemas.openxmlformats.org/spreadsheetml/2006/main" id="15" name="tblCategoriaDespesa_14" displayName="tblCategoriaDespesa_14" ref="B132:P135" headerRowCount="0" totalsRowCount="1">
  <tableColumns count="15">
    <tableColumn id="1" name=" " totalsRowFunction="custom" headerRowDxfId="360">
      <totalsRowFormula>UPPER("Total " &amp; B131)</totalsRowFormula>
    </tableColumn>
    <tableColumn id="2" name="jan" totalsRowFunction="custom" headerRowDxfId="359">
      <totalsRowFormula>SUM(tblCategoriaDespesa_14[jan])</totalsRowFormula>
    </tableColumn>
    <tableColumn id="3" name="feb" totalsRowFunction="custom" headerRowDxfId="358">
      <totalsRowFormula>SUM(tblCategoriaDespesa_14[feb])</totalsRowFormula>
    </tableColumn>
    <tableColumn id="4" name="mar" totalsRowFunction="custom" headerRowDxfId="357">
      <totalsRowFormula>SUM(tblCategoriaDespesa_14[mar])</totalsRowFormula>
    </tableColumn>
    <tableColumn id="5" name="apr" totalsRowFunction="custom" headerRowDxfId="356">
      <totalsRowFormula>SUM(tblCategoriaDespesa_14[apr])</totalsRowFormula>
    </tableColumn>
    <tableColumn id="6" name="may" totalsRowFunction="custom" headerRowDxfId="355">
      <totalsRowFormula>SUM(tblCategoriaDespesa_14[may])</totalsRowFormula>
    </tableColumn>
    <tableColumn id="7" name="jun" totalsRowFunction="custom" headerRowDxfId="354">
      <totalsRowFormula>SUM(tblCategoriaDespesa_14[jun])</totalsRowFormula>
    </tableColumn>
    <tableColumn id="8" name="jul" totalsRowFunction="custom" headerRowDxfId="353">
      <totalsRowFormula>SUM(tblCategoriaDespesa_14[jul])</totalsRowFormula>
    </tableColumn>
    <tableColumn id="9" name="aug" totalsRowFunction="custom" headerRowDxfId="352">
      <totalsRowFormula>SUM(tblCategoriaDespesa_14[aug])</totalsRowFormula>
    </tableColumn>
    <tableColumn id="10" name="sep" totalsRowFunction="custom" headerRowDxfId="351">
      <totalsRowFormula>SUM(tblCategoriaDespesa_14[sep])</totalsRowFormula>
    </tableColumn>
    <tableColumn id="11" name="oct" totalsRowFunction="custom" headerRowDxfId="350">
      <totalsRowFormula>SUM(tblCategoriaDespesa_14[oct])</totalsRowFormula>
    </tableColumn>
    <tableColumn id="12" name="nov" totalsRowFunction="custom" headerRowDxfId="349">
      <totalsRowFormula>SUM(tblCategoriaDespesa_14[nov])</totalsRowFormula>
    </tableColumn>
    <tableColumn id="13" name="dec" totalsRowFunction="custom" headerRowDxfId="348">
      <totalsRowFormula>SUM(tblCategoriaDespesa_14[dec])</totalsRowFormula>
    </tableColumn>
    <tableColumn id="14" name="year" totalsRowFunction="custom" headerRowDxfId="347" dataDxfId="346" totalsRowDxfId="345">
      <calculatedColumnFormula>SUM(tblCategoriaDespesa_14[[#This Row],[jan]:[dec]])</calculatedColumnFormula>
      <totalsRowFormula>SUM(tblCategoriaDespesa_14[year])</totalsRowFormula>
    </tableColumn>
    <tableColumn id="15" name="avg" totalsRowFunction="custom" headerRowDxfId="344" dataDxfId="343" totalsRowDxfId="342">
      <calculatedColumnFormula>tblCategoriaDespesa_14[[#This Row],[year]]/12</calculatedColumnFormula>
      <totalsRowFormula>tblCategoriaDespesa_14[[#Totals],[year]]/12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9.xml><?xml version="1.0" encoding="utf-8"?>
<table xmlns="http://schemas.openxmlformats.org/spreadsheetml/2006/main" id="16" name="tblCategoriaDespesa_15" displayName="tblCategoriaDespesa_15" ref="B139:P142" headerRowCount="0" totalsRowCount="1">
  <tableColumns count="15">
    <tableColumn id="1" name=" " totalsRowFunction="custom" headerRowDxfId="341" totalsRowDxfId="340">
      <totalsRowFormula>UPPER("Total " &amp; B138)</totalsRowFormula>
    </tableColumn>
    <tableColumn id="2" name="jan" totalsRowFunction="custom" headerRowDxfId="339" totalsRowDxfId="338">
      <totalsRowFormula>SUM(tblCategoriaDespesa_15[jan])</totalsRowFormula>
    </tableColumn>
    <tableColumn id="3" name="feb" totalsRowFunction="custom" headerRowDxfId="337" totalsRowDxfId="336">
      <totalsRowFormula>SUM(tblCategoriaDespesa_15[feb])</totalsRowFormula>
    </tableColumn>
    <tableColumn id="4" name="mar" totalsRowFunction="custom" headerRowDxfId="335" totalsRowDxfId="334">
      <totalsRowFormula>SUM(tblCategoriaDespesa_15[mar])</totalsRowFormula>
    </tableColumn>
    <tableColumn id="5" name="apr" totalsRowFunction="custom" headerRowDxfId="333" totalsRowDxfId="332">
      <totalsRowFormula>SUM(tblCategoriaDespesa_15[apr])</totalsRowFormula>
    </tableColumn>
    <tableColumn id="6" name="may" totalsRowFunction="custom" headerRowDxfId="331" totalsRowDxfId="330">
      <totalsRowFormula>SUM(tblCategoriaDespesa_15[may])</totalsRowFormula>
    </tableColumn>
    <tableColumn id="7" name="jun" totalsRowFunction="custom" headerRowDxfId="329" totalsRowDxfId="328">
      <totalsRowFormula>SUM(tblCategoriaDespesa_15[jun])</totalsRowFormula>
    </tableColumn>
    <tableColumn id="8" name="jul" totalsRowFunction="custom" headerRowDxfId="327" totalsRowDxfId="326">
      <totalsRowFormula>SUM(tblCategoriaDespesa_15[jul])</totalsRowFormula>
    </tableColumn>
    <tableColumn id="9" name="aug" totalsRowFunction="custom" headerRowDxfId="325" totalsRowDxfId="324">
      <totalsRowFormula>SUM(tblCategoriaDespesa_15[aug])</totalsRowFormula>
    </tableColumn>
    <tableColumn id="10" name="sep" totalsRowFunction="custom" headerRowDxfId="323" totalsRowDxfId="322">
      <totalsRowFormula>SUM(tblCategoriaDespesa_15[sep])</totalsRowFormula>
    </tableColumn>
    <tableColumn id="11" name="oct" totalsRowFunction="custom" headerRowDxfId="321" totalsRowDxfId="320">
      <totalsRowFormula>SUM(tblCategoriaDespesa_15[oct])</totalsRowFormula>
    </tableColumn>
    <tableColumn id="12" name="nov" totalsRowFunction="custom" headerRowDxfId="319" totalsRowDxfId="318">
      <totalsRowFormula>SUM(tblCategoriaDespesa_15[nov])</totalsRowFormula>
    </tableColumn>
    <tableColumn id="13" name="dec" totalsRowFunction="custom" headerRowDxfId="317" totalsRowDxfId="316">
      <totalsRowFormula>SUM(tblCategoriaDespesa_15[dec])</totalsRowFormula>
    </tableColumn>
    <tableColumn id="14" name="year" totalsRowFunction="custom" headerRowDxfId="315" dataDxfId="314" totalsRowDxfId="313">
      <calculatedColumnFormula>SUM(tblCategoriaDespesa_15[[#This Row],[jan]:[dec]])</calculatedColumnFormula>
      <totalsRowFormula>SUM(tblCategoriaDespesa_15[year])</totalsRowFormula>
    </tableColumn>
    <tableColumn id="15" name="avg" totalsRowFunction="custom" headerRowDxfId="312" dataDxfId="311" totalsRowDxfId="310">
      <calculatedColumnFormula>tblCategoriaDespesa_15[[#This Row],[year]]/12</calculatedColumnFormula>
      <totalsRowFormula>tblCategoriaDespesa_15[[#Totals],[year]]/12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2.xml><?xml version="1.0" encoding="utf-8"?>
<table xmlns="http://schemas.openxmlformats.org/spreadsheetml/2006/main" id="36" name="tblDespesasTransporte2337" displayName="tblDespesasTransporte2337" ref="A28:D35" totalsRowShown="0" headerRowDxfId="260" dataDxfId="259">
  <tableColumns count="4">
    <tableColumn id="1" name="INVENTÁRIO BRASIL" dataDxfId="258"/>
    <tableColumn id="2" name="R$" dataDxfId="257"/>
    <tableColumn id="3" name="Câmbio" dataDxfId="256">
      <calculatedColumnFormula>$C$3</calculatedColumnFormula>
    </tableColumn>
    <tableColumn id="4" name="NZ $" dataDxfId="255">
      <calculatedColumnFormula>tblDespesasTransporte2337[[#This Row],[R$]]/tblDespesasTransporte2337[[#This Row],[Câmbio]]</calculatedColumnFormula>
    </tableColumn>
  </tableColumns>
  <tableStyleInfo name="Setup Tables" showFirstColumn="0" showLastColumn="0" showRowStripes="1" showColumnStripes="0"/>
  <extLst>
    <ext xmlns:x14="http://schemas.microsoft.com/office/spreadsheetml/2009/9/main" uri="{504A1905-F514-4f6f-8877-14C23A59335A}">
      <x14:table altText="Transportation expense list" altTextSummary="List of expenses that correspond to the Transportation category."/>
    </ext>
  </extLst>
</table>
</file>

<file path=xl/tables/table20.xml><?xml version="1.0" encoding="utf-8"?>
<table xmlns="http://schemas.openxmlformats.org/spreadsheetml/2006/main" id="35" name="tblFluxoCaixa" displayName="tblFluxoCaixa" ref="B6:P10" headerRowCount="0" totalsRowCount="1">
  <tableColumns count="15">
    <tableColumn id="1" name="Income" totalsRowDxfId="309"/>
    <tableColumn id="2" name="Jan" headerRowDxfId="308" dataDxfId="307" totalsRowDxfId="306" dataCellStyle="Vírgula"/>
    <tableColumn id="3" name="Feb" headerRowDxfId="305" dataDxfId="304" totalsRowDxfId="303" dataCellStyle="Vírgula"/>
    <tableColumn id="4" name="Mar" headerRowDxfId="302" dataDxfId="301" totalsRowDxfId="300" dataCellStyle="Vírgula"/>
    <tableColumn id="5" name="Apr" headerRowDxfId="299" dataDxfId="298" totalsRowDxfId="297" dataCellStyle="Vírgula"/>
    <tableColumn id="6" name="May" headerRowDxfId="296" dataDxfId="295" totalsRowDxfId="294" dataCellStyle="Vírgula"/>
    <tableColumn id="7" name="Jun" headerRowDxfId="293" dataDxfId="292" totalsRowDxfId="291" dataCellStyle="Vírgula"/>
    <tableColumn id="8" name="Jul" headerRowDxfId="290" dataDxfId="289" totalsRowDxfId="288" dataCellStyle="Vírgula"/>
    <tableColumn id="9" name="Aug" headerRowDxfId="287" dataDxfId="286" totalsRowDxfId="285" dataCellStyle="Vírgula"/>
    <tableColumn id="10" name="Sep" headerRowDxfId="284" dataDxfId="283" totalsRowDxfId="282" dataCellStyle="Vírgula"/>
    <tableColumn id="11" name="Oct" headerRowDxfId="281" dataDxfId="280" totalsRowDxfId="279" dataCellStyle="Vírgula"/>
    <tableColumn id="12" name="Nov" headerRowDxfId="278" dataDxfId="277" totalsRowDxfId="276" dataCellStyle="Vírgula"/>
    <tableColumn id="13" name="Dec" totalsRowFunction="custom" headerRowDxfId="275" dataDxfId="274" totalsRowDxfId="273" dataCellStyle="Vírgula">
      <totalsRowFormula>SaldoInicial-N9</totalsRowFormula>
    </tableColumn>
    <tableColumn id="14" name="Year" headerRowDxfId="272" dataDxfId="271" totalsRowDxfId="270" dataCellStyle="Vírgula"/>
    <tableColumn id="15" name="Avg" headerRowDxfId="269" dataDxfId="268" totalsRowDxfId="267" dataCellStyle="Vírgula"/>
  </tableColumns>
  <tableStyleInfo name="Budget Tables" showFirstColumn="1" showLastColumn="0" showRowStripes="1" showColumnStripes="0"/>
  <extLst>
    <ext xmlns:x14="http://schemas.microsoft.com/office/spreadsheetml/2009/9/main" uri="{504A1905-F514-4f6f-8877-14C23A59335A}">
      <x14:table altText="Cash Flow" altTextSummary="List of monthly Total Income, Total Expenses, and Net Income along with monthly Total Cash Flow."/>
    </ext>
  </extLst>
</table>
</file>

<file path=xl/tables/table21.xml><?xml version="1.0" encoding="utf-8"?>
<table xmlns="http://schemas.openxmlformats.org/spreadsheetml/2006/main" id="17" name="tblCategoriasDespesa" displayName="tblCategoriasDespesa" ref="D2:D18" totalsRowShown="0" headerRowDxfId="248">
  <tableColumns count="1">
    <tableColumn id="1" name="despesas"/>
  </tableColumns>
  <tableStyleInfo name="Other Custom Table Style" showFirstColumn="0" showLastColumn="0" showRowStripes="1" showColumnStripes="0"/>
  <extLst>
    <ext xmlns:x14="http://schemas.microsoft.com/office/spreadsheetml/2009/9/main" uri="{504A1905-F514-4f6f-8877-14C23A59335A}">
      <x14:table altText="Expense categories" altTextSummary="List of Expense categories for expense tables on the Budget sheet."/>
    </ext>
  </extLst>
</table>
</file>

<file path=xl/tables/table22.xml><?xml version="1.0" encoding="utf-8"?>
<table xmlns="http://schemas.openxmlformats.org/spreadsheetml/2006/main" id="18" name="tblDespesasCasa" displayName="tblDespesasCasa" ref="F4:F17" totalsRowShown="0" headerRowDxfId="247" dataDxfId="246">
  <tableColumns count="1">
    <tableColumn id="1" name="casa" dataDxfId="245"/>
  </tableColumns>
  <tableStyleInfo name="Setup Tables" showFirstColumn="0" showLastColumn="0" showRowStripes="1" showColumnStripes="0"/>
  <extLst>
    <ext xmlns:x14="http://schemas.microsoft.com/office/spreadsheetml/2009/9/main" uri="{504A1905-F514-4f6f-8877-14C23A59335A}">
      <x14:table altText="Home expense list" altTextSummary="List of expenses that correspond to the Home category."/>
    </ext>
  </extLst>
</table>
</file>

<file path=xl/tables/table23.xml><?xml version="1.0" encoding="utf-8"?>
<table xmlns="http://schemas.openxmlformats.org/spreadsheetml/2006/main" id="19" name="tblDespesasDiárias" displayName="tblDespesasDiárias" ref="H4:H12" totalsRowShown="0" headerRowDxfId="244" dataDxfId="243">
  <tableColumns count="1">
    <tableColumn id="1" name="despesas diárias" dataDxfId="242"/>
  </tableColumns>
  <tableStyleInfo name="Setup Tables" showFirstColumn="0" showLastColumn="0" showRowStripes="1" showColumnStripes="0"/>
  <extLst>
    <ext xmlns:x14="http://schemas.microsoft.com/office/spreadsheetml/2009/9/main" uri="{504A1905-F514-4f6f-8877-14C23A59335A}">
      <x14:table altText="Daily Living expense list" altTextSummary="List of expenses that correspond to the daily living category."/>
    </ext>
  </extLst>
</table>
</file>

<file path=xl/tables/table24.xml><?xml version="1.0" encoding="utf-8"?>
<table xmlns="http://schemas.openxmlformats.org/spreadsheetml/2006/main" id="20" name="tblDespesasFilhos" displayName="tblDespesasFilhos" ref="J4:J12" totalsRowShown="0" headerRowDxfId="241" dataDxfId="240">
  <tableColumns count="1">
    <tableColumn id="1" name="filhos" dataDxfId="239"/>
  </tableColumns>
  <tableStyleInfo name="Setup Tables" showFirstColumn="0" showLastColumn="0" showRowStripes="1" showColumnStripes="0"/>
  <extLst>
    <ext xmlns:x14="http://schemas.microsoft.com/office/spreadsheetml/2009/9/main" uri="{504A1905-F514-4f6f-8877-14C23A59335A}">
      <x14:table altText="Children expense list" altTextSummary="List of expenses that correspond to the Children category."/>
    </ext>
  </extLst>
</table>
</file>

<file path=xl/tables/table25.xml><?xml version="1.0" encoding="utf-8"?>
<table xmlns="http://schemas.openxmlformats.org/spreadsheetml/2006/main" id="21" name="tblDespesasTransporte" displayName="tblDespesasTransporte" ref="F20:F26" totalsRowShown="0" headerRowDxfId="238" dataDxfId="237">
  <tableColumns count="1">
    <tableColumn id="1" name="transporte" dataDxfId="236"/>
  </tableColumns>
  <tableStyleInfo name="Setup Tables" showFirstColumn="0" showLastColumn="0" showRowStripes="1" showColumnStripes="0"/>
  <extLst>
    <ext xmlns:x14="http://schemas.microsoft.com/office/spreadsheetml/2009/9/main" uri="{504A1905-F514-4f6f-8877-14C23A59335A}">
      <x14:table altText="Transportation expense list" altTextSummary="List of expenses that correspond to the Transportation category."/>
    </ext>
  </extLst>
</table>
</file>

<file path=xl/tables/table26.xml><?xml version="1.0" encoding="utf-8"?>
<table xmlns="http://schemas.openxmlformats.org/spreadsheetml/2006/main" id="23" name="tblDespesasSaúde" displayName="tblDespesasSaúde" ref="H20:H25" totalsRowShown="0" headerRowDxfId="235" dataDxfId="234">
  <tableColumns count="1">
    <tableColumn id="1" name="saúde" dataDxfId="233"/>
  </tableColumns>
  <tableStyleInfo name="Setup Tables" showFirstColumn="0" showLastColumn="0" showRowStripes="1" showColumnStripes="0"/>
  <extLst>
    <ext xmlns:x14="http://schemas.microsoft.com/office/spreadsheetml/2009/9/main" uri="{504A1905-F514-4f6f-8877-14C23A59335A}">
      <x14:table altText="Health expense list" altTextSummary="List of expenses that correspond to the Health category."/>
    </ext>
  </extLst>
</table>
</file>

<file path=xl/tables/table27.xml><?xml version="1.0" encoding="utf-8"?>
<table xmlns="http://schemas.openxmlformats.org/spreadsheetml/2006/main" id="24" name="tblDespesasSeguro" displayName="tblDespesasSeguro" ref="J20:J25" totalsRowShown="0" headerRowDxfId="232" dataDxfId="231">
  <tableColumns count="1">
    <tableColumn id="1" name="seguro" dataDxfId="230"/>
  </tableColumns>
  <tableStyleInfo name="Setup Tables" showFirstColumn="0" showLastColumn="0" showRowStripes="1" showColumnStripes="0"/>
  <extLst>
    <ext xmlns:x14="http://schemas.microsoft.com/office/spreadsheetml/2009/9/main" uri="{504A1905-F514-4f6f-8877-14C23A59335A}">
      <x14:table altText="Insurance expense list" altTextSummary="List of expenses that correspond to the Insurance category."/>
    </ext>
  </extLst>
</table>
</file>

<file path=xl/tables/table28.xml><?xml version="1.0" encoding="utf-8"?>
<table xmlns="http://schemas.openxmlformats.org/spreadsheetml/2006/main" id="25" name="tblDespesasEducação" displayName="tblDespesasEducação" ref="F29:F37" totalsRowShown="0" headerRowDxfId="229" dataDxfId="228">
  <tableColumns count="1">
    <tableColumn id="1" name="educação" dataDxfId="227"/>
  </tableColumns>
  <tableStyleInfo name="Setup Tables" showFirstColumn="0" showLastColumn="0" showRowStripes="1" showColumnStripes="0"/>
  <extLst>
    <ext xmlns:x14="http://schemas.microsoft.com/office/spreadsheetml/2009/9/main" uri="{504A1905-F514-4f6f-8877-14C23A59335A}">
      <x14:table altText="Education expense list" altTextSummary="List of expenses that correspond to the Education category."/>
    </ext>
  </extLst>
</table>
</file>

<file path=xl/tables/table29.xml><?xml version="1.0" encoding="utf-8"?>
<table xmlns="http://schemas.openxmlformats.org/spreadsheetml/2006/main" id="26" name="tblDespesasCaridade" displayName="tblDespesasCaridade" ref="H29:H33" totalsRowShown="0" headerRowDxfId="226" dataDxfId="225">
  <tableColumns count="1">
    <tableColumn id="1" name="caridade" dataDxfId="224"/>
  </tableColumns>
  <tableStyleInfo name="Setup Tables" showFirstColumn="0" showLastColumn="0" showRowStripes="1" showColumnStripes="0"/>
  <extLst>
    <ext xmlns:x14="http://schemas.microsoft.com/office/spreadsheetml/2009/9/main" uri="{504A1905-F514-4f6f-8877-14C23A59335A}">
      <x14:table altText="Charity expense list" altTextSummary="List of expenses that correspond to the Charity category."/>
    </ext>
  </extLst>
</table>
</file>

<file path=xl/tables/table3.xml><?xml version="1.0" encoding="utf-8"?>
<table xmlns="http://schemas.openxmlformats.org/spreadsheetml/2006/main" id="37" name="tblDespesasTransporte2338" displayName="tblDespesasTransporte2338" ref="A5:D19" totalsRowShown="0" headerRowDxfId="254" dataDxfId="253">
  <tableColumns count="4">
    <tableColumn id="1" name="GASTOS NO BRASIL" dataDxfId="252"/>
    <tableColumn id="2" name="R$" dataDxfId="251"/>
    <tableColumn id="3" name="Câmbio" dataDxfId="250">
      <calculatedColumnFormula>$C$3</calculatedColumnFormula>
    </tableColumn>
    <tableColumn id="4" name="NZ $" dataDxfId="249">
      <calculatedColumnFormula>tblDespesasTransporte2338[[#This Row],[R$]]/tblDespesasTransporte2338[[#This Row],[Câmbio]]</calculatedColumnFormula>
    </tableColumn>
  </tableColumns>
  <tableStyleInfo name="Setup Tables" showFirstColumn="0" showLastColumn="0" showRowStripes="1" showColumnStripes="0"/>
  <extLst>
    <ext xmlns:x14="http://schemas.microsoft.com/office/spreadsheetml/2009/9/main" uri="{504A1905-F514-4f6f-8877-14C23A59335A}">
      <x14:table altText="Transportation expense list" altTextSummary="List of expenses that correspond to the Transportation category."/>
    </ext>
  </extLst>
</table>
</file>

<file path=xl/tables/table30.xml><?xml version="1.0" encoding="utf-8"?>
<table xmlns="http://schemas.openxmlformats.org/spreadsheetml/2006/main" id="27" name="tblDespesasPoupança" displayName="tblDespesasPoupança" ref="J29:J35" totalsRowShown="0" headerRowDxfId="223" dataDxfId="222">
  <tableColumns count="1">
    <tableColumn id="1" name="poupança" dataDxfId="221"/>
  </tableColumns>
  <tableStyleInfo name="Setup Tables" showFirstColumn="0" showLastColumn="0" showRowStripes="1" showColumnStripes="0"/>
  <extLst>
    <ext xmlns:x14="http://schemas.microsoft.com/office/spreadsheetml/2009/9/main" uri="{504A1905-F514-4f6f-8877-14C23A59335A}">
      <x14:table altText="Savings expense list" altTextSummary="List of expenses that correspond to the Savings category."/>
    </ext>
  </extLst>
</table>
</file>

<file path=xl/tables/table31.xml><?xml version="1.0" encoding="utf-8"?>
<table xmlns="http://schemas.openxmlformats.org/spreadsheetml/2006/main" id="28" name="tblDespesasObrigações" displayName="tblDespesasObrigações" ref="F38:F50" totalsRowShown="0" headerRowDxfId="220" dataDxfId="219">
  <tableColumns count="1">
    <tableColumn id="1" name="obrigações" dataDxfId="218"/>
  </tableColumns>
  <tableStyleInfo name="Setup Tables" showFirstColumn="0" showLastColumn="0" showRowStripes="1" showColumnStripes="0"/>
  <extLst>
    <ext xmlns:x14="http://schemas.microsoft.com/office/spreadsheetml/2009/9/main" uri="{504A1905-F514-4f6f-8877-14C23A59335A}">
      <x14:table altText="Obligations expense category" altTextSummary="List of expenses that correspond to the Obligations category."/>
    </ext>
  </extLst>
</table>
</file>

<file path=xl/tables/table32.xml><?xml version="1.0" encoding="utf-8"?>
<table xmlns="http://schemas.openxmlformats.org/spreadsheetml/2006/main" id="29" name="tblDespesasEntretenimento" displayName="tblDespesasEntretenimento" ref="H38:H51" totalsRowShown="0" headerRowDxfId="217" dataDxfId="216">
  <tableColumns count="1">
    <tableColumn id="1" name="diversão" dataDxfId="215"/>
  </tableColumns>
  <tableStyleInfo name="Setup Tables" showFirstColumn="0" showLastColumn="0" showRowStripes="1" showColumnStripes="0"/>
  <extLst>
    <ext xmlns:x14="http://schemas.microsoft.com/office/spreadsheetml/2009/9/main" uri="{504A1905-F514-4f6f-8877-14C23A59335A}">
      <x14:table altText="Entertainment expense list" altTextSummary="List of expenses that correspond to the Entertainment category."/>
    </ext>
  </extLst>
</table>
</file>

<file path=xl/tables/table33.xml><?xml version="1.0" encoding="utf-8"?>
<table xmlns="http://schemas.openxmlformats.org/spreadsheetml/2006/main" id="30" name="tblDespesasAnimais" displayName="tblDespesasAnimais" ref="J38:J42" totalsRowShown="0" headerRowDxfId="214" dataDxfId="213">
  <tableColumns count="1">
    <tableColumn id="1" name="animais de estimação" dataDxfId="212"/>
  </tableColumns>
  <tableStyleInfo name="Setup Tables" showFirstColumn="0" showLastColumn="0" showRowStripes="1" showColumnStripes="0"/>
  <extLst>
    <ext xmlns:x14="http://schemas.microsoft.com/office/spreadsheetml/2009/9/main" uri="{504A1905-F514-4f6f-8877-14C23A59335A}">
      <x14:table altText="Pets expense list" altTextSummary="List of expenses that correspond to the Pets category."/>
    </ext>
  </extLst>
</table>
</file>

<file path=xl/tables/table34.xml><?xml version="1.0" encoding="utf-8"?>
<table xmlns="http://schemas.openxmlformats.org/spreadsheetml/2006/main" id="31" name="tblDespesasAssinaturas" displayName="tblDespesasAssinaturas" ref="F53:F58" totalsRowShown="0" headerRowDxfId="211" dataDxfId="210">
  <tableColumns count="1">
    <tableColumn id="1" name="assinaturas" dataDxfId="209"/>
  </tableColumns>
  <tableStyleInfo name="Setup Tables" showFirstColumn="0" showLastColumn="0" showRowStripes="1" showColumnStripes="0"/>
  <extLst>
    <ext xmlns:x14="http://schemas.microsoft.com/office/spreadsheetml/2009/9/main" uri="{504A1905-F514-4f6f-8877-14C23A59335A}">
      <x14:table altText="Subscriptions expense list" altTextSummary="List of expenses that correspond to the Subscriptions category."/>
    </ext>
  </extLst>
</table>
</file>

<file path=xl/tables/table35.xml><?xml version="1.0" encoding="utf-8"?>
<table xmlns="http://schemas.openxmlformats.org/spreadsheetml/2006/main" id="32" name="tblDespesasFérias" displayName="tblDespesasFérias" ref="H53:H59" totalsRowShown="0" headerRowDxfId="208" dataDxfId="207">
  <tableColumns count="1">
    <tableColumn id="1" name="férias" dataDxfId="206"/>
  </tableColumns>
  <tableStyleInfo name="Setup Tables" showFirstColumn="0" showLastColumn="0" showRowStripes="1" showColumnStripes="0"/>
  <extLst>
    <ext xmlns:x14="http://schemas.microsoft.com/office/spreadsheetml/2009/9/main" uri="{504A1905-F514-4f6f-8877-14C23A59335A}">
      <x14:table altText="Vacation expense list" altTextSummary="List of expenses that correspond to the Vacation category."/>
    </ext>
  </extLst>
</table>
</file>

<file path=xl/tables/table36.xml><?xml version="1.0" encoding="utf-8"?>
<table xmlns="http://schemas.openxmlformats.org/spreadsheetml/2006/main" id="33" name="tblDespesasDiv" displayName="tblDespesasDiv" ref="J53:J56" totalsRowShown="0" headerRowDxfId="205" dataDxfId="204">
  <tableColumns count="1">
    <tableColumn id="1" name="diversos" dataDxfId="203"/>
  </tableColumns>
  <tableStyleInfo name="Setup Tables" showFirstColumn="0" showLastColumn="0" showRowStripes="1" showColumnStripes="0"/>
  <extLst>
    <ext xmlns:x14="http://schemas.microsoft.com/office/spreadsheetml/2009/9/main" uri="{504A1905-F514-4f6f-8877-14C23A59335A}">
      <x14:table altText="Miscellaneous expense list" altTextSummary="List of expenses that correspond to the Miscellaneous category."/>
    </ext>
  </extLst>
</table>
</file>

<file path=xl/tables/table37.xml><?xml version="1.0" encoding="utf-8"?>
<table xmlns="http://schemas.openxmlformats.org/spreadsheetml/2006/main" id="34" name="tblOpçõesLinhaRenda" displayName="tblOpçõesLinhaRenda" ref="B2:B9" totalsRowShown="0" headerRowDxfId="202">
  <tableColumns count="1">
    <tableColumn id="1" name="renda"/>
  </tableColumns>
  <tableStyleInfo name="Other Custom Table Style" showFirstColumn="0" showLastColumn="0" showRowStripes="1" showColumnStripes="0"/>
  <extLst>
    <ext xmlns:x14="http://schemas.microsoft.com/office/spreadsheetml/2009/9/main" uri="{504A1905-F514-4f6f-8877-14C23A59335A}">
      <x14:table altText="Income categories" altTextSummary="List of Income categories for Income table on the Budget sheet."/>
    </ext>
  </extLst>
</table>
</file>

<file path=xl/tables/table4.xml><?xml version="1.0" encoding="utf-8"?>
<table xmlns="http://schemas.openxmlformats.org/spreadsheetml/2006/main" id="1" name="tblRenda" displayName="tblRenda" ref="B13:P18" headerRowCount="0" totalsRowCount="1">
  <tableColumns count="15">
    <tableColumn id="1" name="Income" totalsRowLabel="RENDA TOTAL" headerRowDxfId="674" totalsRowDxfId="190"/>
    <tableColumn id="2" name="jan" totalsRowFunction="custom" headerRowDxfId="673" totalsRowDxfId="189" dataCellStyle="Vírgula">
      <calculatedColumnFormula>Recursos!H30</calculatedColumnFormula>
      <totalsRowFormula>SUM(tblRenda[jan])</totalsRowFormula>
    </tableColumn>
    <tableColumn id="3" name="feb" totalsRowFunction="custom" headerRowDxfId="672" dataDxfId="201" totalsRowDxfId="188" dataCellStyle="Vírgula">
      <calculatedColumnFormula>tblRenda[[#This Row],[jan]]</calculatedColumnFormula>
      <totalsRowFormula>SUM(tblRenda[feb])</totalsRowFormula>
    </tableColumn>
    <tableColumn id="4" name="mar" totalsRowFunction="custom" headerRowDxfId="671" dataDxfId="200" totalsRowDxfId="187" dataCellStyle="Vírgula">
      <calculatedColumnFormula>tblRenda[[#This Row],[feb]]</calculatedColumnFormula>
      <totalsRowFormula>SUM(tblRenda[mar])</totalsRowFormula>
    </tableColumn>
    <tableColumn id="5" name="apr" totalsRowFunction="custom" headerRowDxfId="670" dataDxfId="199" totalsRowDxfId="186" dataCellStyle="Vírgula">
      <calculatedColumnFormula>tblRenda[[#This Row],[mar]]</calculatedColumnFormula>
      <totalsRowFormula>SUM(tblRenda[apr])</totalsRowFormula>
    </tableColumn>
    <tableColumn id="6" name="may" totalsRowFunction="custom" headerRowDxfId="669" dataDxfId="198" totalsRowDxfId="185" dataCellStyle="Vírgula">
      <calculatedColumnFormula>tblRenda[[#This Row],[apr]]</calculatedColumnFormula>
      <totalsRowFormula>SUM(tblRenda[may])</totalsRowFormula>
    </tableColumn>
    <tableColumn id="7" name="jun" totalsRowFunction="custom" headerRowDxfId="668" dataDxfId="197" totalsRowDxfId="184" dataCellStyle="Vírgula">
      <calculatedColumnFormula>tblRenda[[#This Row],[may]]</calculatedColumnFormula>
      <totalsRowFormula>SUM(tblRenda[jun])</totalsRowFormula>
    </tableColumn>
    <tableColumn id="8" name="jul" totalsRowFunction="custom" headerRowDxfId="667" dataDxfId="196" totalsRowDxfId="183" dataCellStyle="Vírgula">
      <calculatedColumnFormula>tblRenda[[#This Row],[jun]]</calculatedColumnFormula>
      <totalsRowFormula>SUM(tblRenda[jul])</totalsRowFormula>
    </tableColumn>
    <tableColumn id="9" name="aug" totalsRowFunction="custom" headerRowDxfId="666" dataDxfId="195" totalsRowDxfId="182" dataCellStyle="Vírgula">
      <calculatedColumnFormula>tblRenda[[#This Row],[jul]]</calculatedColumnFormula>
      <totalsRowFormula>SUM(tblRenda[aug])</totalsRowFormula>
    </tableColumn>
    <tableColumn id="10" name="sep" totalsRowFunction="custom" headerRowDxfId="665" dataDxfId="194" totalsRowDxfId="181" dataCellStyle="Vírgula">
      <calculatedColumnFormula>tblRenda[[#This Row],[aug]]</calculatedColumnFormula>
      <totalsRowFormula>SUM(tblRenda[sep])</totalsRowFormula>
    </tableColumn>
    <tableColumn id="11" name="oct" totalsRowFunction="custom" headerRowDxfId="664" dataDxfId="193" totalsRowDxfId="180" dataCellStyle="Vírgula">
      <calculatedColumnFormula>tblRenda[[#This Row],[sep]]</calculatedColumnFormula>
      <totalsRowFormula>SUM(tblRenda[oct])</totalsRowFormula>
    </tableColumn>
    <tableColumn id="12" name="nov" totalsRowFunction="custom" headerRowDxfId="663" dataDxfId="192" totalsRowDxfId="179" dataCellStyle="Vírgula">
      <calculatedColumnFormula>tblRenda[[#This Row],[oct]]</calculatedColumnFormula>
      <totalsRowFormula>SUM(tblRenda[nov])</totalsRowFormula>
    </tableColumn>
    <tableColumn id="13" name="dec" totalsRowFunction="custom" headerRowDxfId="662" dataDxfId="191" totalsRowDxfId="178" dataCellStyle="Vírgula">
      <calculatedColumnFormula>tblRenda[[#This Row],[nov]]</calculatedColumnFormula>
      <totalsRowFormula>SUM(tblRenda[dec])</totalsRowFormula>
    </tableColumn>
    <tableColumn id="14" name="year" totalsRowFunction="custom" headerRowDxfId="661" totalsRowDxfId="177" dataCellStyle="Vírgula">
      <calculatedColumnFormula>SUM(tblRenda[[#This Row],[jan]:[dec]])</calculatedColumnFormula>
      <totalsRowFormula>SUM(tblRenda[year])</totalsRowFormula>
    </tableColumn>
    <tableColumn id="15" name="avg" totalsRowFunction="custom" headerRowDxfId="660" totalsRowDxfId="176" dataCellStyle="Vírgula">
      <calculatedColumnFormula>tblRenda[[#This Row],[year]]/12</calculatedColumnFormula>
      <totalsRowFormula>tblRenda[[#Totals],[year]]/12</totalsRowFormula>
    </tableColumn>
  </tableColumns>
  <tableStyleInfo name="Budget Tables" showFirstColumn="1" showLastColumn="0" showRowStripes="1" showColumnStripes="0"/>
  <extLst>
    <ext xmlns:x14="http://schemas.microsoft.com/office/spreadsheetml/2009/9/main" uri="{504A1905-F514-4f6f-8877-14C23A59335A}">
      <x14:table altText="Income" altTextSummary="List of monthly renda sources and amounts"/>
    </ext>
  </extLst>
</table>
</file>

<file path=xl/tables/table5.xml><?xml version="1.0" encoding="utf-8"?>
<table xmlns="http://schemas.openxmlformats.org/spreadsheetml/2006/main" id="2" name="tblCategoriaDespesa_01" displayName="tblCategoriaDespesa_01" ref="B22:P30" headerRowCount="0" totalsRowCount="1">
  <tableColumns count="15">
    <tableColumn id="1" name="Home" totalsRowFunction="custom" headerRowDxfId="659" totalsRowDxfId="130">
      <totalsRowFormula>UPPER("Total " &amp; B21)</totalsRowFormula>
    </tableColumn>
    <tableColumn id="2" name="jan" totalsRowFunction="custom" headerRowDxfId="658" totalsRowDxfId="129">
      <totalsRowFormula>SUM(tblCategoriaDespesa_01[jan])</totalsRowFormula>
    </tableColumn>
    <tableColumn id="3" name="feb" totalsRowFunction="custom" headerRowDxfId="657" totalsRowDxfId="128">
      <totalsRowFormula>SUM(tblCategoriaDespesa_01[feb])</totalsRowFormula>
    </tableColumn>
    <tableColumn id="4" name="mar" totalsRowFunction="custom" headerRowDxfId="656" totalsRowDxfId="127">
      <totalsRowFormula>SUM(tblCategoriaDespesa_01[mar])</totalsRowFormula>
    </tableColumn>
    <tableColumn id="5" name="apr" totalsRowFunction="custom" headerRowDxfId="655" totalsRowDxfId="126">
      <totalsRowFormula>SUM(tblCategoriaDespesa_01[apr])</totalsRowFormula>
    </tableColumn>
    <tableColumn id="6" name="may" totalsRowFunction="custom" headerRowDxfId="654" totalsRowDxfId="125">
      <totalsRowFormula>SUM(tblCategoriaDespesa_01[may])</totalsRowFormula>
    </tableColumn>
    <tableColumn id="7" name="jun" totalsRowFunction="custom" headerRowDxfId="653" totalsRowDxfId="124">
      <totalsRowFormula>SUM(tblCategoriaDespesa_01[jun])</totalsRowFormula>
    </tableColumn>
    <tableColumn id="8" name="jul" totalsRowFunction="custom" headerRowDxfId="652" totalsRowDxfId="123">
      <totalsRowFormula>SUM(tblCategoriaDespesa_01[jul])</totalsRowFormula>
    </tableColumn>
    <tableColumn id="9" name="aug" totalsRowFunction="custom" headerRowDxfId="651" totalsRowDxfId="122">
      <totalsRowFormula>SUM(tblCategoriaDespesa_01[aug])</totalsRowFormula>
    </tableColumn>
    <tableColumn id="10" name="sep" totalsRowFunction="custom" headerRowDxfId="650" totalsRowDxfId="121">
      <totalsRowFormula>SUM(tblCategoriaDespesa_01[sep])</totalsRowFormula>
    </tableColumn>
    <tableColumn id="11" name="oct" totalsRowFunction="custom" headerRowDxfId="649" totalsRowDxfId="120">
      <totalsRowFormula>SUM(tblCategoriaDespesa_01[oct])</totalsRowFormula>
    </tableColumn>
    <tableColumn id="12" name="nov" totalsRowFunction="custom" headerRowDxfId="648" totalsRowDxfId="119">
      <totalsRowFormula>SUM(tblCategoriaDespesa_01[nov])</totalsRowFormula>
    </tableColumn>
    <tableColumn id="13" name="dec" totalsRowFunction="custom" headerRowDxfId="647" totalsRowDxfId="118">
      <totalsRowFormula>SUM(tblCategoriaDespesa_01[dec])</totalsRowFormula>
    </tableColumn>
    <tableColumn id="14" name="year" totalsRowFunction="custom" headerRowDxfId="646" dataDxfId="645" totalsRowDxfId="117">
      <calculatedColumnFormula>SUM(tblCategoriaDespesa_01[[#This Row],[jan]:[dec]])</calculatedColumnFormula>
      <totalsRowFormula>SUM(tblCategoriaDespesa_01[year])</totalsRowFormula>
    </tableColumn>
    <tableColumn id="15" name="avg" totalsRowFunction="custom" headerRowDxfId="644" dataDxfId="643" totalsRowDxfId="116">
      <calculatedColumnFormula>tblCategoriaDespesa_01[[#This Row],[year]]/12</calculatedColumnFormula>
      <totalsRowFormula>tblCategoriaDespesa_01[[#Totals],[year]]/12</totalsRowFormula>
    </tableColumn>
  </tableColumns>
  <tableStyleInfo name="Budget Tables" showFirstColumn="1" showLastColumn="0" showRowStripes="1" showColumnStripes="0"/>
  <extLst>
    <ext xmlns:x14="http://schemas.microsoft.com/office/spreadsheetml/2009/9/main" uri="{504A1905-F514-4f6f-8877-14C23A59335A}">
      <x14:table altText="Home expenses" altTextSummary="List of home expenses by month such as, Mortgage/Rent, Electricity, Phone, etc."/>
    </ext>
  </extLst>
</table>
</file>

<file path=xl/tables/table6.xml><?xml version="1.0" encoding="utf-8"?>
<table xmlns="http://schemas.openxmlformats.org/spreadsheetml/2006/main" id="3" name="tblCategoriaDespesa_02" displayName="tblCategoriaDespesa_02" ref="B34:P39" headerRowCount="0" totalsRowCount="1">
  <tableColumns count="15">
    <tableColumn id="1" name="Daily Living" totalsRowFunction="custom" headerRowDxfId="642" totalsRowDxfId="175">
      <totalsRowFormula>UPPER("Total " &amp; B33)</totalsRowFormula>
    </tableColumn>
    <tableColumn id="2" name="jan" totalsRowFunction="custom" headerRowDxfId="641" totalsRowDxfId="174">
      <totalsRowFormula>SUM(tblCategoriaDespesa_02[jan])</totalsRowFormula>
    </tableColumn>
    <tableColumn id="3" name="feb" totalsRowFunction="custom" headerRowDxfId="640" dataDxfId="639" totalsRowDxfId="173">
      <totalsRowFormula>SUM(tblCategoriaDespesa_02[feb])</totalsRowFormula>
    </tableColumn>
    <tableColumn id="4" name="mar" totalsRowFunction="custom" headerRowDxfId="638" dataDxfId="637" totalsRowDxfId="172">
      <totalsRowFormula>SUM(tblCategoriaDespesa_02[mar])</totalsRowFormula>
    </tableColumn>
    <tableColumn id="5" name="apr" totalsRowFunction="custom" headerRowDxfId="636" dataDxfId="635" totalsRowDxfId="171">
      <totalsRowFormula>SUM(tblCategoriaDespesa_02[apr])</totalsRowFormula>
    </tableColumn>
    <tableColumn id="6" name="may" totalsRowFunction="custom" headerRowDxfId="634" dataDxfId="633" totalsRowDxfId="170">
      <totalsRowFormula>SUM(tblCategoriaDespesa_02[may])</totalsRowFormula>
    </tableColumn>
    <tableColumn id="7" name="jun" totalsRowFunction="custom" headerRowDxfId="632" dataDxfId="631" totalsRowDxfId="169">
      <totalsRowFormula>SUM(tblCategoriaDespesa_02[jun])</totalsRowFormula>
    </tableColumn>
    <tableColumn id="8" name="jul" totalsRowFunction="custom" headerRowDxfId="630" dataDxfId="629" totalsRowDxfId="168">
      <totalsRowFormula>SUM(tblCategoriaDespesa_02[jul])</totalsRowFormula>
    </tableColumn>
    <tableColumn id="9" name="aug" totalsRowFunction="custom" headerRowDxfId="628" dataDxfId="627" totalsRowDxfId="167">
      <totalsRowFormula>SUM(tblCategoriaDespesa_02[aug])</totalsRowFormula>
    </tableColumn>
    <tableColumn id="10" name="sep" totalsRowFunction="custom" headerRowDxfId="626" dataDxfId="625" totalsRowDxfId="166">
      <totalsRowFormula>SUM(tblCategoriaDespesa_02[sep])</totalsRowFormula>
    </tableColumn>
    <tableColumn id="11" name="oct" totalsRowFunction="custom" headerRowDxfId="624" dataDxfId="623" totalsRowDxfId="165">
      <totalsRowFormula>SUM(tblCategoriaDespesa_02[oct])</totalsRowFormula>
    </tableColumn>
    <tableColumn id="12" name="nov" totalsRowFunction="custom" headerRowDxfId="622" dataDxfId="621" totalsRowDxfId="164">
      <totalsRowFormula>SUM(tblCategoriaDespesa_02[nov])</totalsRowFormula>
    </tableColumn>
    <tableColumn id="13" name="dec" totalsRowFunction="custom" headerRowDxfId="620" dataDxfId="619" totalsRowDxfId="163">
      <totalsRowFormula>SUM(tblCategoriaDespesa_02[dec])</totalsRowFormula>
    </tableColumn>
    <tableColumn id="14" name="year" totalsRowFunction="custom" headerRowDxfId="618" dataDxfId="617" totalsRowDxfId="162">
      <calculatedColumnFormula>SUM(tblCategoriaDespesa_02[[#This Row],[jan]:[dec]])</calculatedColumnFormula>
      <totalsRowFormula>SUM(tblCategoriaDespesa_02[year])</totalsRowFormula>
    </tableColumn>
    <tableColumn id="15" name="avg" totalsRowFunction="custom" headerRowDxfId="616" dataDxfId="615" totalsRowDxfId="161">
      <calculatedColumnFormula>tblCategoriaDespesa_02[[#This Row],[year]]/12</calculatedColumnFormula>
      <totalsRowFormula>tblCategoriaDespesa_02[[#Totals],[year]]/12</totalsRowFormula>
    </tableColumn>
  </tableColumns>
  <tableStyleInfo name="Budget Tables" showFirstColumn="1" showLastColumn="0" showRowStripes="1" showColumnStripes="0"/>
  <extLst>
    <ext xmlns:x14="http://schemas.microsoft.com/office/spreadsheetml/2009/9/main" uri="{504A1905-F514-4f6f-8877-14C23A59335A}">
      <x14:table altText="Daily Living expenses" altTextSummary="List of daily living expenses by month such as, Groceries, Clothing, etc. "/>
    </ext>
  </extLst>
</table>
</file>

<file path=xl/tables/table7.xml><?xml version="1.0" encoding="utf-8"?>
<table xmlns="http://schemas.openxmlformats.org/spreadsheetml/2006/main" id="4" name="tblCategoriaDespesa_03" displayName="tblCategoriaDespesa_03" ref="B43:P49" headerRowCount="0" totalsRowCount="1">
  <tableColumns count="15">
    <tableColumn id="1" name="Children" totalsRowFunction="custom" headerRowDxfId="614" totalsRowDxfId="103">
      <totalsRowFormula>UPPER("Total " &amp; B42)</totalsRowFormula>
    </tableColumn>
    <tableColumn id="2" name="jan" totalsRowFunction="custom" headerRowDxfId="613" dataDxfId="115" totalsRowDxfId="102">
      <calculatedColumnFormula>100+80</calculatedColumnFormula>
      <totalsRowFormula>SUM(tblCategoriaDespesa_03[jan])</totalsRowFormula>
    </tableColumn>
    <tableColumn id="3" name="feb" totalsRowFunction="custom" headerRowDxfId="612" dataDxfId="114" totalsRowDxfId="101">
      <calculatedColumnFormula>tblCategoriaDespesa_03[[#This Row],[jan]]</calculatedColumnFormula>
      <totalsRowFormula>SUM(tblCategoriaDespesa_03[feb])</totalsRowFormula>
    </tableColumn>
    <tableColumn id="4" name="mar" totalsRowFunction="custom" headerRowDxfId="611" dataDxfId="113" totalsRowDxfId="100">
      <calculatedColumnFormula>tblCategoriaDespesa_03[[#This Row],[jan]]</calculatedColumnFormula>
      <totalsRowFormula>SUM(tblCategoriaDespesa_03[mar])</totalsRowFormula>
    </tableColumn>
    <tableColumn id="5" name="apr" totalsRowFunction="custom" headerRowDxfId="610" dataDxfId="112" totalsRowDxfId="99">
      <calculatedColumnFormula>tblCategoriaDespesa_03[[#This Row],[jan]]</calculatedColumnFormula>
      <totalsRowFormula>SUM(tblCategoriaDespesa_03[apr])</totalsRowFormula>
    </tableColumn>
    <tableColumn id="6" name="may" totalsRowFunction="custom" headerRowDxfId="609" dataDxfId="111" totalsRowDxfId="98">
      <calculatedColumnFormula>tblCategoriaDespesa_03[[#This Row],[jan]]</calculatedColumnFormula>
      <totalsRowFormula>SUM(tblCategoriaDespesa_03[may])</totalsRowFormula>
    </tableColumn>
    <tableColumn id="7" name="jun" totalsRowFunction="custom" headerRowDxfId="608" dataDxfId="110" totalsRowDxfId="97">
      <calculatedColumnFormula>tblCategoriaDespesa_03[[#This Row],[jan]]</calculatedColumnFormula>
      <totalsRowFormula>SUM(tblCategoriaDespesa_03[jun])</totalsRowFormula>
    </tableColumn>
    <tableColumn id="8" name="jul" totalsRowFunction="custom" headerRowDxfId="607" dataDxfId="109" totalsRowDxfId="96">
      <calculatedColumnFormula>tblCategoriaDespesa_03[[#This Row],[jan]]</calculatedColumnFormula>
      <totalsRowFormula>SUM(tblCategoriaDespesa_03[jul])</totalsRowFormula>
    </tableColumn>
    <tableColumn id="9" name="aug" totalsRowFunction="custom" headerRowDxfId="606" dataDxfId="108" totalsRowDxfId="95">
      <calculatedColumnFormula>tblCategoriaDespesa_03[[#This Row],[jan]]</calculatedColumnFormula>
      <totalsRowFormula>SUM(tblCategoriaDespesa_03[aug])</totalsRowFormula>
    </tableColumn>
    <tableColumn id="10" name="sep" totalsRowFunction="custom" headerRowDxfId="605" dataDxfId="107" totalsRowDxfId="94">
      <calculatedColumnFormula>tblCategoriaDespesa_03[[#This Row],[jan]]</calculatedColumnFormula>
      <totalsRowFormula>SUM(tblCategoriaDespesa_03[sep])</totalsRowFormula>
    </tableColumn>
    <tableColumn id="11" name="oct" totalsRowFunction="custom" headerRowDxfId="604" dataDxfId="106" totalsRowDxfId="93">
      <calculatedColumnFormula>tblCategoriaDespesa_03[[#This Row],[jan]]</calculatedColumnFormula>
      <totalsRowFormula>SUM(tblCategoriaDespesa_03[oct])</totalsRowFormula>
    </tableColumn>
    <tableColumn id="12" name="nov" totalsRowFunction="custom" headerRowDxfId="603" dataDxfId="105" totalsRowDxfId="92">
      <calculatedColumnFormula>tblCategoriaDespesa_03[[#This Row],[jan]]</calculatedColumnFormula>
      <totalsRowFormula>SUM(tblCategoriaDespesa_03[nov])</totalsRowFormula>
    </tableColumn>
    <tableColumn id="13" name="dec" totalsRowFunction="custom" headerRowDxfId="602" dataDxfId="104" totalsRowDxfId="91">
      <calculatedColumnFormula>tblCategoriaDespesa_03[[#This Row],[jan]]</calculatedColumnFormula>
      <totalsRowFormula>SUM(tblCategoriaDespesa_03[dec])</totalsRowFormula>
    </tableColumn>
    <tableColumn id="14" name="year" totalsRowFunction="custom" headerRowDxfId="601" dataDxfId="600" totalsRowDxfId="90">
      <calculatedColumnFormula>SUM(tblCategoriaDespesa_03[[#This Row],[jan]:[dec]])</calculatedColumnFormula>
      <totalsRowFormula>SUM(tblCategoriaDespesa_03[year])</totalsRowFormula>
    </tableColumn>
    <tableColumn id="15" name="avg" totalsRowFunction="custom" headerRowDxfId="599" dataDxfId="598" totalsRowDxfId="89">
      <calculatedColumnFormula>tblCategoriaDespesa_03[[#This Row],[year]]/12</calculatedColumnFormula>
      <totalsRowFormula>tblCategoriaDespesa_03[[#Totals],[year]]/12</totalsRowFormula>
    </tableColumn>
  </tableColumns>
  <tableStyleInfo name="Budget Tables" showFirstColumn="1" showLastColumn="0" showRowStripes="1" showColumnStripes="0"/>
  <extLst>
    <ext xmlns:x14="http://schemas.microsoft.com/office/spreadsheetml/2009/9/main" uri="{504A1905-F514-4f6f-8877-14C23A59335A}">
      <x14:table altText="Children expenses" altTextSummary="List of your children's expenses by month such as School Supplies, Clothing, School Lunch, etc."/>
    </ext>
  </extLst>
</table>
</file>

<file path=xl/tables/table8.xml><?xml version="1.0" encoding="utf-8"?>
<table xmlns="http://schemas.openxmlformats.org/spreadsheetml/2006/main" id="5" name="tblCategoriaDespesa_04" displayName="tblCategoriaDespesa_04" ref="B53:P58" headerRowCount="0" totalsRowCount="1">
  <tableColumns count="15">
    <tableColumn id="1" name="Transportation" totalsRowFunction="custom" headerRowDxfId="597" dataDxfId="76" totalsRowDxfId="75">
      <totalsRowFormula>UPPER("Total " &amp; B52)</totalsRowFormula>
    </tableColumn>
    <tableColumn id="2" name="jan" totalsRowFunction="custom" headerRowDxfId="596" dataDxfId="88" totalsRowDxfId="74">
      <calculatedColumnFormula>1.95*35</calculatedColumnFormula>
      <totalsRowFormula>SUM(tblCategoriaDespesa_04[jan])</totalsRowFormula>
    </tableColumn>
    <tableColumn id="3" name="feb" totalsRowFunction="custom" headerRowDxfId="595" dataDxfId="87" totalsRowDxfId="73">
      <calculatedColumnFormula>tblCategoriaDespesa_04[[#This Row],[jan]]</calculatedColumnFormula>
      <totalsRowFormula>SUM(tblCategoriaDespesa_04[feb])</totalsRowFormula>
    </tableColumn>
    <tableColumn id="4" name="mar" totalsRowFunction="custom" headerRowDxfId="594" dataDxfId="86" totalsRowDxfId="72">
      <calculatedColumnFormula>tblCategoriaDespesa_04[[#This Row],[jan]]</calculatedColumnFormula>
      <totalsRowFormula>SUM(tblCategoriaDespesa_04[mar])</totalsRowFormula>
    </tableColumn>
    <tableColumn id="5" name="apr" totalsRowFunction="custom" headerRowDxfId="593" dataDxfId="85" totalsRowDxfId="71">
      <calculatedColumnFormula>tblCategoriaDespesa_04[[#This Row],[jan]]</calculatedColumnFormula>
      <totalsRowFormula>SUM(tblCategoriaDespesa_04[apr])</totalsRowFormula>
    </tableColumn>
    <tableColumn id="6" name="may" totalsRowFunction="custom" headerRowDxfId="592" dataDxfId="84" totalsRowDxfId="70">
      <calculatedColumnFormula>tblCategoriaDespesa_04[[#This Row],[jan]]</calculatedColumnFormula>
      <totalsRowFormula>SUM(tblCategoriaDespesa_04[may])</totalsRowFormula>
    </tableColumn>
    <tableColumn id="7" name="jun" totalsRowFunction="custom" headerRowDxfId="591" dataDxfId="83" totalsRowDxfId="69">
      <calculatedColumnFormula>tblCategoriaDespesa_04[[#This Row],[jan]]</calculatedColumnFormula>
      <totalsRowFormula>SUM(tblCategoriaDespesa_04[jun])</totalsRowFormula>
    </tableColumn>
    <tableColumn id="8" name="jul" totalsRowFunction="custom" headerRowDxfId="590" dataDxfId="82" totalsRowDxfId="68">
      <calculatedColumnFormula>tblCategoriaDespesa_04[[#This Row],[jan]]</calculatedColumnFormula>
      <totalsRowFormula>SUM(tblCategoriaDespesa_04[jul])</totalsRowFormula>
    </tableColumn>
    <tableColumn id="9" name="aug" totalsRowFunction="custom" headerRowDxfId="589" dataDxfId="81" totalsRowDxfId="67">
      <calculatedColumnFormula>tblCategoriaDespesa_04[[#This Row],[jan]]</calculatedColumnFormula>
      <totalsRowFormula>SUM(tblCategoriaDespesa_04[aug])</totalsRowFormula>
    </tableColumn>
    <tableColumn id="10" name="sep" totalsRowFunction="custom" headerRowDxfId="588" dataDxfId="80" totalsRowDxfId="66">
      <calculatedColumnFormula>tblCategoriaDespesa_04[[#This Row],[jan]]</calculatedColumnFormula>
      <totalsRowFormula>SUM(tblCategoriaDespesa_04[sep])</totalsRowFormula>
    </tableColumn>
    <tableColumn id="11" name="oct" totalsRowFunction="custom" headerRowDxfId="587" dataDxfId="79" totalsRowDxfId="65">
      <calculatedColumnFormula>tblCategoriaDespesa_04[[#This Row],[jan]]</calculatedColumnFormula>
      <totalsRowFormula>SUM(tblCategoriaDespesa_04[oct])</totalsRowFormula>
    </tableColumn>
    <tableColumn id="12" name="nov" totalsRowFunction="custom" headerRowDxfId="586" dataDxfId="78" totalsRowDxfId="64">
      <calculatedColumnFormula>tblCategoriaDespesa_04[[#This Row],[jan]]</calculatedColumnFormula>
      <totalsRowFormula>SUM(tblCategoriaDespesa_04[nov])</totalsRowFormula>
    </tableColumn>
    <tableColumn id="13" name="dec" totalsRowFunction="custom" headerRowDxfId="585" dataDxfId="77" totalsRowDxfId="63">
      <calculatedColumnFormula>tblCategoriaDespesa_04[[#This Row],[jan]]</calculatedColumnFormula>
      <totalsRowFormula>SUM(tblCategoriaDespesa_04[dec])</totalsRowFormula>
    </tableColumn>
    <tableColumn id="14" name="year" totalsRowFunction="custom" headerRowDxfId="584" dataDxfId="583" totalsRowDxfId="62">
      <calculatedColumnFormula>SUM(tblCategoriaDespesa_04[[#This Row],[jan]:[dec]])</calculatedColumnFormula>
      <totalsRowFormula>SUM(tblCategoriaDespesa_04[year])</totalsRowFormula>
    </tableColumn>
    <tableColumn id="15" name="avg" totalsRowFunction="custom" headerRowDxfId="582" dataDxfId="581" totalsRowDxfId="61">
      <calculatedColumnFormula>tblCategoriaDespesa_04[[#This Row],[year]]/12</calculatedColumnFormula>
      <totalsRowFormula>tblCategoriaDespesa_04[[#Totals],[year]]/12</totalsRowFormula>
    </tableColumn>
  </tableColumns>
  <tableStyleInfo name="Budget Tables" showFirstColumn="1" showLastColumn="0" showRowStripes="1" showColumnStripes="0"/>
  <extLst>
    <ext xmlns:x14="http://schemas.microsoft.com/office/spreadsheetml/2009/9/main" uri="{504A1905-F514-4f6f-8877-14C23A59335A}">
      <x14:table altText="Transportation expenses" altTextSummary="List of transportation expenses by month such as Vehicle Payments, Fuel, Repairs, etc."/>
    </ext>
  </extLst>
</table>
</file>

<file path=xl/tables/table9.xml><?xml version="1.0" encoding="utf-8"?>
<table xmlns="http://schemas.openxmlformats.org/spreadsheetml/2006/main" id="6" name="tblCategoriaDespesa_05" displayName="tblCategoriaDespesa_05" ref="B62:P66" headerRowCount="0" totalsRowCount="1">
  <tableColumns count="15">
    <tableColumn id="1" name="Health" totalsRowFunction="custom" headerRowDxfId="580" totalsRowDxfId="160">
      <totalsRowFormula>UPPER("Total " &amp; B61)</totalsRowFormula>
    </tableColumn>
    <tableColumn id="2" name="jan" totalsRowFunction="custom" headerRowDxfId="579" totalsRowDxfId="159">
      <totalsRowFormula>SUM(tblCategoriaDespesa_05[jan])</totalsRowFormula>
    </tableColumn>
    <tableColumn id="3" name="feb" totalsRowFunction="custom" headerRowDxfId="578" dataDxfId="577" totalsRowDxfId="158">
      <totalsRowFormula>SUM(tblCategoriaDespesa_05[feb])</totalsRowFormula>
    </tableColumn>
    <tableColumn id="4" name="mar" totalsRowFunction="custom" headerRowDxfId="576" dataDxfId="575" totalsRowDxfId="157">
      <totalsRowFormula>SUM(tblCategoriaDespesa_05[mar])</totalsRowFormula>
    </tableColumn>
    <tableColumn id="5" name="apr" totalsRowFunction="custom" headerRowDxfId="574" dataDxfId="573" totalsRowDxfId="156">
      <totalsRowFormula>SUM(tblCategoriaDespesa_05[apr])</totalsRowFormula>
    </tableColumn>
    <tableColumn id="6" name="may" totalsRowFunction="custom" headerRowDxfId="572" dataDxfId="571" totalsRowDxfId="155">
      <totalsRowFormula>SUM(tblCategoriaDespesa_05[may])</totalsRowFormula>
    </tableColumn>
    <tableColumn id="7" name="jun" totalsRowFunction="custom" headerRowDxfId="570" dataDxfId="569" totalsRowDxfId="154">
      <totalsRowFormula>SUM(tblCategoriaDespesa_05[jun])</totalsRowFormula>
    </tableColumn>
    <tableColumn id="8" name="jul" totalsRowFunction="custom" headerRowDxfId="568" dataDxfId="567" totalsRowDxfId="153">
      <totalsRowFormula>SUM(tblCategoriaDespesa_05[jul])</totalsRowFormula>
    </tableColumn>
    <tableColumn id="9" name="aug" totalsRowFunction="custom" headerRowDxfId="566" dataDxfId="565" totalsRowDxfId="152">
      <totalsRowFormula>SUM(tblCategoriaDespesa_05[aug])</totalsRowFormula>
    </tableColumn>
    <tableColumn id="10" name="sep" totalsRowFunction="custom" headerRowDxfId="564" dataDxfId="563" totalsRowDxfId="151">
      <totalsRowFormula>SUM(tblCategoriaDespesa_05[sep])</totalsRowFormula>
    </tableColumn>
    <tableColumn id="11" name="oct" totalsRowFunction="custom" headerRowDxfId="562" dataDxfId="561" totalsRowDxfId="150">
      <totalsRowFormula>SUM(tblCategoriaDespesa_05[oct])</totalsRowFormula>
    </tableColumn>
    <tableColumn id="12" name="nov" totalsRowFunction="custom" headerRowDxfId="560" dataDxfId="559" totalsRowDxfId="149">
      <totalsRowFormula>SUM(tblCategoriaDespesa_05[nov])</totalsRowFormula>
    </tableColumn>
    <tableColumn id="13" name="dec" totalsRowFunction="custom" headerRowDxfId="558" dataDxfId="557" totalsRowDxfId="148">
      <totalsRowFormula>SUM(tblCategoriaDespesa_05[dec])</totalsRowFormula>
    </tableColumn>
    <tableColumn id="14" name="year" totalsRowFunction="custom" headerRowDxfId="556" dataDxfId="555" totalsRowDxfId="147">
      <calculatedColumnFormula>SUM(tblCategoriaDespesa_05[[#This Row],[jan]:[dec]])</calculatedColumnFormula>
      <totalsRowFormula>SUM(tblCategoriaDespesa_05[year])</totalsRowFormula>
    </tableColumn>
    <tableColumn id="15" name="avg" totalsRowFunction="custom" headerRowDxfId="554" dataDxfId="553" totalsRowDxfId="146">
      <calculatedColumnFormula>tblCategoriaDespesa_05[[#This Row],[year]]/12</calculatedColumnFormula>
      <totalsRowFormula>tblCategoriaDespesa_05[[#Totals],[year]]/12</totalsRowFormula>
    </tableColumn>
  </tableColumns>
  <tableStyleInfo name="Budget Tables" showFirstColumn="1" showLastColumn="0" showRowStripes="1" showColumnStripes="0"/>
  <extLst>
    <ext xmlns:x14="http://schemas.microsoft.com/office/spreadsheetml/2009/9/main" uri="{504A1905-F514-4f6f-8877-14C23A59335A}">
      <x14:table altTextSummary="List of health expenses by month such as Doctor/Dentist, Medicine/Drugs, etc."/>
    </ext>
  </extLst>
</table>
</file>

<file path=xl/theme/theme1.xml><?xml version="1.0" encoding="utf-8"?>
<a:theme xmlns:a="http://schemas.openxmlformats.org/drawingml/2006/main" name="Office Theme">
  <a:themeElements>
    <a:clrScheme name="Generic Family Budget">
      <a:dk1>
        <a:sysClr val="windowText" lastClr="000000"/>
      </a:dk1>
      <a:lt1>
        <a:sysClr val="window" lastClr="FFFFFF"/>
      </a:lt1>
      <a:dk2>
        <a:srgbClr val="584232"/>
      </a:dk2>
      <a:lt2>
        <a:srgbClr val="E7EBEC"/>
      </a:lt2>
      <a:accent1>
        <a:srgbClr val="8A9FA1"/>
      </a:accent1>
      <a:accent2>
        <a:srgbClr val="FF3939"/>
      </a:accent2>
      <a:accent3>
        <a:srgbClr val="93A251"/>
      </a:accent3>
      <a:accent4>
        <a:srgbClr val="70607F"/>
      </a:accent4>
      <a:accent5>
        <a:srgbClr val="D9BD32"/>
      </a:accent5>
      <a:accent6>
        <a:srgbClr val="5679A2"/>
      </a:accent6>
      <a:hlink>
        <a:srgbClr val="5679A2"/>
      </a:hlink>
      <a:folHlink>
        <a:srgbClr val="70607F"/>
      </a:folHlink>
    </a:clrScheme>
    <a:fontScheme name="Generic Family Budget">
      <a:majorFont>
        <a:latin typeface="Euphem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solidFill>
        <a:ln>
          <a:noFill/>
        </a:ln>
      </a:spPr>
      <a:bodyPr vertOverflow="clip" horzOverflow="clip" rtlCol="0" anchor="ctr"/>
      <a:lstStyle>
        <a:defPPr algn="l">
          <a:defRPr sz="9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vmlDrawing" Target="../drawings/vmlDrawing2.v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drawing" Target="../drawings/drawing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image" Target="../media/image1.png"/><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25.xml"/><Relationship Id="rId13" Type="http://schemas.openxmlformats.org/officeDocument/2006/relationships/table" Target="../tables/table30.xml"/><Relationship Id="rId18" Type="http://schemas.openxmlformats.org/officeDocument/2006/relationships/table" Target="../tables/table35.xml"/><Relationship Id="rId3" Type="http://schemas.openxmlformats.org/officeDocument/2006/relationships/image" Target="../media/image1.png"/><Relationship Id="rId7" Type="http://schemas.openxmlformats.org/officeDocument/2006/relationships/table" Target="../tables/table24.xml"/><Relationship Id="rId12" Type="http://schemas.openxmlformats.org/officeDocument/2006/relationships/table" Target="../tables/table29.xml"/><Relationship Id="rId17" Type="http://schemas.openxmlformats.org/officeDocument/2006/relationships/table" Target="../tables/table34.xml"/><Relationship Id="rId2" Type="http://schemas.openxmlformats.org/officeDocument/2006/relationships/drawing" Target="../drawings/drawing2.xml"/><Relationship Id="rId16" Type="http://schemas.openxmlformats.org/officeDocument/2006/relationships/table" Target="../tables/table33.xml"/><Relationship Id="rId20" Type="http://schemas.openxmlformats.org/officeDocument/2006/relationships/table" Target="../tables/table37.xml"/><Relationship Id="rId1" Type="http://schemas.openxmlformats.org/officeDocument/2006/relationships/printerSettings" Target="../printerSettings/printerSettings5.bin"/><Relationship Id="rId6" Type="http://schemas.openxmlformats.org/officeDocument/2006/relationships/table" Target="../tables/table23.xml"/><Relationship Id="rId11" Type="http://schemas.openxmlformats.org/officeDocument/2006/relationships/table" Target="../tables/table28.xml"/><Relationship Id="rId5" Type="http://schemas.openxmlformats.org/officeDocument/2006/relationships/table" Target="../tables/table22.xml"/><Relationship Id="rId15" Type="http://schemas.openxmlformats.org/officeDocument/2006/relationships/table" Target="../tables/table32.xml"/><Relationship Id="rId10" Type="http://schemas.openxmlformats.org/officeDocument/2006/relationships/table" Target="../tables/table27.xml"/><Relationship Id="rId19" Type="http://schemas.openxmlformats.org/officeDocument/2006/relationships/table" Target="../tables/table36.xml"/><Relationship Id="rId4" Type="http://schemas.openxmlformats.org/officeDocument/2006/relationships/table" Target="../tables/table21.xml"/><Relationship Id="rId9" Type="http://schemas.openxmlformats.org/officeDocument/2006/relationships/table" Target="../tables/table26.xml"/><Relationship Id="rId1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topLeftCell="A22" workbookViewId="0">
      <selection activeCell="H38" sqref="H38"/>
    </sheetView>
  </sheetViews>
  <sheetFormatPr defaultRowHeight="14.25"/>
  <cols>
    <col min="1" max="1" width="27.85546875" bestFit="1" customWidth="1"/>
    <col min="2" max="2" width="18.5703125" customWidth="1"/>
    <col min="3" max="3" width="11.5703125" customWidth="1"/>
    <col min="4" max="4" width="18.42578125" customWidth="1"/>
    <col min="5" max="5" width="3.42578125" customWidth="1"/>
    <col min="6" max="6" width="20.42578125" customWidth="1"/>
    <col min="7" max="7" width="2.28515625" customWidth="1"/>
    <col min="8" max="8" width="20.42578125" customWidth="1"/>
  </cols>
  <sheetData>
    <row r="1" spans="1:8" ht="22.5">
      <c r="A1" s="71" t="s">
        <v>140</v>
      </c>
      <c r="B1" s="71"/>
      <c r="C1" s="71"/>
      <c r="D1" s="71"/>
      <c r="E1" s="71"/>
      <c r="F1" s="71"/>
      <c r="G1" s="71"/>
      <c r="H1" s="71"/>
    </row>
    <row r="2" spans="1:8" s="2" customFormat="1"/>
    <row r="3" spans="1:8" s="2" customFormat="1">
      <c r="B3" s="32" t="s">
        <v>137</v>
      </c>
      <c r="C3" s="33">
        <v>2.3965000000000001</v>
      </c>
      <c r="D3" s="34">
        <v>42923</v>
      </c>
    </row>
    <row r="5" spans="1:8" s="30" customFormat="1">
      <c r="A5" s="30" t="s">
        <v>135</v>
      </c>
      <c r="B5" s="40" t="s">
        <v>136</v>
      </c>
      <c r="C5" s="36" t="s">
        <v>137</v>
      </c>
      <c r="D5" s="40" t="s">
        <v>138</v>
      </c>
      <c r="F5" s="44" t="s">
        <v>141</v>
      </c>
      <c r="H5" s="44" t="s">
        <v>142</v>
      </c>
    </row>
    <row r="6" spans="1:8">
      <c r="A6" s="14" t="s">
        <v>193</v>
      </c>
      <c r="B6" s="41">
        <v>1</v>
      </c>
      <c r="C6" s="37">
        <f t="shared" ref="C6:C18" si="0">$C$3</f>
        <v>2.3965000000000001</v>
      </c>
      <c r="D6" s="45">
        <f>tblDespesasTransporte23[[#This Row],[R$]]/tblDespesasTransporte23[[#This Row],[Câmbio]]</f>
        <v>0.41727519298977672</v>
      </c>
      <c r="F6" s="48">
        <f>tblDespesasTransporte23[[#This Row],[NZ $]]</f>
        <v>0.41727519298977672</v>
      </c>
      <c r="H6" s="48"/>
    </row>
    <row r="7" spans="1:8">
      <c r="A7" s="14" t="s">
        <v>194</v>
      </c>
      <c r="B7" s="41">
        <v>1</v>
      </c>
      <c r="C7" s="37">
        <f t="shared" si="0"/>
        <v>2.3965000000000001</v>
      </c>
      <c r="D7" s="45">
        <f>tblDespesasTransporte23[[#This Row],[R$]]/tblDespesasTransporte23[[#This Row],[Câmbio]]</f>
        <v>0.41727519298977672</v>
      </c>
      <c r="F7" s="48">
        <f>tblDespesasTransporte23[[#This Row],[NZ $]]</f>
        <v>0.41727519298977672</v>
      </c>
      <c r="H7" s="48"/>
    </row>
    <row r="8" spans="1:8">
      <c r="A8" s="14" t="s">
        <v>195</v>
      </c>
      <c r="B8" s="41">
        <v>1</v>
      </c>
      <c r="C8" s="37">
        <f t="shared" si="0"/>
        <v>2.3965000000000001</v>
      </c>
      <c r="D8" s="45">
        <f>tblDespesasTransporte23[[#This Row],[R$]]/tblDespesasTransporte23[[#This Row],[Câmbio]]</f>
        <v>0.41727519298977672</v>
      </c>
      <c r="F8" s="48">
        <f>tblDespesasTransporte23[[#This Row],[NZ $]]</f>
        <v>0.41727519298977672</v>
      </c>
      <c r="H8" s="48"/>
    </row>
    <row r="9" spans="1:8">
      <c r="A9" s="14" t="s">
        <v>196</v>
      </c>
      <c r="B9" s="41">
        <v>1</v>
      </c>
      <c r="C9" s="37">
        <f t="shared" si="0"/>
        <v>2.3965000000000001</v>
      </c>
      <c r="D9" s="45">
        <f>tblDespesasTransporte23[[#This Row],[R$]]/tblDespesasTransporte23[[#This Row],[Câmbio]]</f>
        <v>0.41727519298977672</v>
      </c>
      <c r="F9" s="48">
        <f>tblDespesasTransporte23[[#This Row],[NZ $]]</f>
        <v>0.41727519298977672</v>
      </c>
      <c r="H9" s="48"/>
    </row>
    <row r="10" spans="1:8">
      <c r="A10" s="14" t="s">
        <v>197</v>
      </c>
      <c r="B10" s="41">
        <v>1</v>
      </c>
      <c r="C10" s="37">
        <f t="shared" si="0"/>
        <v>2.3965000000000001</v>
      </c>
      <c r="D10" s="45">
        <f>tblDespesasTransporte23[[#This Row],[R$]]/tblDespesasTransporte23[[#This Row],[Câmbio]]</f>
        <v>0.41727519298977672</v>
      </c>
      <c r="F10" s="48">
        <f>tblDespesasTransporte23[[#This Row],[NZ $]]</f>
        <v>0.41727519298977672</v>
      </c>
      <c r="H10" s="48"/>
    </row>
    <row r="11" spans="1:8">
      <c r="A11" s="14" t="s">
        <v>198</v>
      </c>
      <c r="B11" s="41">
        <v>1</v>
      </c>
      <c r="C11" s="37">
        <f t="shared" si="0"/>
        <v>2.3965000000000001</v>
      </c>
      <c r="D11" s="45">
        <f>tblDespesasTransporte23[[#This Row],[R$]]/tblDespesasTransporte23[[#This Row],[Câmbio]]</f>
        <v>0.41727519298977672</v>
      </c>
      <c r="F11" s="48">
        <f>tblDespesasTransporte23[[#This Row],[NZ $]]</f>
        <v>0.41727519298977672</v>
      </c>
      <c r="H11" s="48"/>
    </row>
    <row r="12" spans="1:8" s="2" customFormat="1">
      <c r="A12" s="14" t="s">
        <v>199</v>
      </c>
      <c r="B12" s="41">
        <v>1</v>
      </c>
      <c r="C12" s="37">
        <f t="shared" si="0"/>
        <v>2.3965000000000001</v>
      </c>
      <c r="D12" s="45">
        <f>tblDespesasTransporte23[[#This Row],[R$]]/tblDespesasTransporte23[[#This Row],[Câmbio]]</f>
        <v>0.41727519298977672</v>
      </c>
      <c r="F12" s="48">
        <f>tblDespesasTransporte23[[#This Row],[NZ $]]</f>
        <v>0.41727519298977672</v>
      </c>
      <c r="H12" s="48"/>
    </row>
    <row r="13" spans="1:8" s="2" customFormat="1">
      <c r="A13" s="14" t="s">
        <v>200</v>
      </c>
      <c r="B13" s="41">
        <v>1</v>
      </c>
      <c r="C13" s="38">
        <f>$C$3</f>
        <v>2.3965000000000001</v>
      </c>
      <c r="D13" s="45">
        <f>tblDespesasTransporte23[[#This Row],[R$]]/tblDespesasTransporte23[[#This Row],[Câmbio]]</f>
        <v>0.41727519298977672</v>
      </c>
      <c r="F13" s="48">
        <f>tblDespesasTransporte23[[#This Row],[NZ $]]</f>
        <v>0.41727519298977672</v>
      </c>
      <c r="H13" s="48"/>
    </row>
    <row r="14" spans="1:8">
      <c r="A14" s="14" t="s">
        <v>201</v>
      </c>
      <c r="B14" s="41">
        <v>1</v>
      </c>
      <c r="C14" s="38">
        <f t="shared" si="0"/>
        <v>2.3965000000000001</v>
      </c>
      <c r="D14" s="46">
        <f>tblDespesasTransporte23[[#This Row],[R$]]/tblDespesasTransporte23[[#This Row],[Câmbio]]</f>
        <v>0.41727519298977672</v>
      </c>
      <c r="F14" s="48">
        <f>tblDespesasTransporte23[[#This Row],[NZ $]]</f>
        <v>0.41727519298977672</v>
      </c>
      <c r="H14" s="48"/>
    </row>
    <row r="15" spans="1:8">
      <c r="A15" s="14" t="s">
        <v>202</v>
      </c>
      <c r="B15" s="41">
        <v>1</v>
      </c>
      <c r="C15" s="38">
        <f t="shared" si="0"/>
        <v>2.3965000000000001</v>
      </c>
      <c r="D15" s="46">
        <f>tblDespesasTransporte23[[#This Row],[R$]]/tblDespesasTransporte23[[#This Row],[Câmbio]]</f>
        <v>0.41727519298977672</v>
      </c>
      <c r="F15" s="48">
        <f>tblDespesasTransporte23[[#This Row],[NZ $]]</f>
        <v>0.41727519298977672</v>
      </c>
      <c r="G15" s="2"/>
      <c r="H15" s="48"/>
    </row>
    <row r="16" spans="1:8" s="2" customFormat="1">
      <c r="A16" s="14"/>
      <c r="B16" s="42"/>
      <c r="C16" s="38">
        <f t="shared" si="0"/>
        <v>2.3965000000000001</v>
      </c>
      <c r="D16" s="46">
        <f>tblDespesasTransporte23[[#This Row],[R$]]/tblDespesasTransporte23[[#This Row],[Câmbio]]</f>
        <v>0</v>
      </c>
      <c r="F16" s="48">
        <f>tblDespesasTransporte23[[#This Row],[NZ $]]</f>
        <v>0</v>
      </c>
      <c r="H16" s="48"/>
    </row>
    <row r="17" spans="1:8" s="2" customFormat="1">
      <c r="A17" s="14"/>
      <c r="B17" s="42"/>
      <c r="C17" s="38">
        <f t="shared" si="0"/>
        <v>2.3965000000000001</v>
      </c>
      <c r="D17" s="46">
        <f>tblDespesasTransporte23[[#This Row],[R$]]/tblDespesasTransporte23[[#This Row],[Câmbio]]</f>
        <v>0</v>
      </c>
      <c r="F17" s="48">
        <f>tblDespesasTransporte23[[#This Row],[NZ $]]</f>
        <v>0</v>
      </c>
      <c r="H17" s="48"/>
    </row>
    <row r="18" spans="1:8" s="2" customFormat="1">
      <c r="A18" s="14"/>
      <c r="B18" s="42"/>
      <c r="C18" s="38">
        <f t="shared" si="0"/>
        <v>2.3965000000000001</v>
      </c>
      <c r="D18" s="46">
        <f>tblDespesasTransporte23[[#This Row],[R$]]/tblDespesasTransporte23[[#This Row],[Câmbio]]</f>
        <v>0</v>
      </c>
      <c r="F18" s="48">
        <f>tblDespesasTransporte23[[#This Row],[NZ $]]</f>
        <v>0</v>
      </c>
      <c r="H18" s="48"/>
    </row>
    <row r="19" spans="1:8">
      <c r="A19" s="35" t="s">
        <v>139</v>
      </c>
      <c r="B19" s="52">
        <f>SUM(B6:B18)</f>
        <v>10</v>
      </c>
      <c r="C19" s="39"/>
      <c r="D19" s="53">
        <f>SUM(D6:D18)</f>
        <v>4.1727519298977676</v>
      </c>
      <c r="E19" s="2"/>
      <c r="F19" s="47">
        <f>SUM(F6:F14)</f>
        <v>3.7554767369079904</v>
      </c>
      <c r="G19" s="2"/>
      <c r="H19" s="47">
        <f>SUM(H6:H14)</f>
        <v>0</v>
      </c>
    </row>
    <row r="20" spans="1:8" ht="71.25">
      <c r="F20" s="78" t="s">
        <v>215</v>
      </c>
    </row>
    <row r="22" spans="1:8" s="2" customFormat="1"/>
    <row r="23" spans="1:8" s="2" customFormat="1"/>
    <row r="24" spans="1:8" ht="22.5">
      <c r="A24" s="71" t="s">
        <v>203</v>
      </c>
      <c r="B24" s="71"/>
      <c r="C24" s="71"/>
      <c r="D24" s="71"/>
      <c r="E24" s="71"/>
      <c r="F24" s="71"/>
      <c r="G24" s="71"/>
      <c r="H24" s="71"/>
    </row>
    <row r="25" spans="1:8">
      <c r="A25" s="2"/>
      <c r="B25" s="2"/>
      <c r="C25" s="2"/>
      <c r="D25" s="2"/>
      <c r="E25" s="2"/>
      <c r="F25" s="2"/>
      <c r="G25" s="2"/>
      <c r="H25" s="2"/>
    </row>
    <row r="26" spans="1:8">
      <c r="A26" s="2"/>
      <c r="B26" s="32" t="s">
        <v>137</v>
      </c>
      <c r="C26" s="33">
        <f>C3</f>
        <v>2.3965000000000001</v>
      </c>
      <c r="D26" s="34">
        <f>D3</f>
        <v>42923</v>
      </c>
      <c r="E26" s="2"/>
      <c r="F26" s="2"/>
      <c r="G26" s="2"/>
      <c r="H26" s="2"/>
    </row>
    <row r="27" spans="1:8">
      <c r="A27" s="2" t="s">
        <v>205</v>
      </c>
      <c r="B27" s="2"/>
      <c r="C27" s="75">
        <v>500</v>
      </c>
      <c r="D27" s="2"/>
      <c r="E27" s="2"/>
      <c r="F27" s="2"/>
      <c r="G27" s="2"/>
      <c r="H27" s="2"/>
    </row>
    <row r="28" spans="1:8">
      <c r="A28" s="30" t="s">
        <v>135</v>
      </c>
      <c r="B28" s="40" t="s">
        <v>136</v>
      </c>
      <c r="C28" s="36" t="s">
        <v>137</v>
      </c>
      <c r="D28" s="40" t="s">
        <v>138</v>
      </c>
      <c r="E28" s="30"/>
      <c r="F28" s="44" t="s">
        <v>141</v>
      </c>
      <c r="G28" s="30"/>
      <c r="H28" s="44" t="s">
        <v>142</v>
      </c>
    </row>
    <row r="29" spans="1:8">
      <c r="A29" s="14" t="s">
        <v>204</v>
      </c>
      <c r="B29" s="41">
        <f>(B6*0.0052)-((B6*0.0052)*30%)-C27</f>
        <v>-499.99635999999998</v>
      </c>
      <c r="C29" s="37">
        <f t="shared" ref="C29:C31" si="1">$C$3</f>
        <v>2.3965000000000001</v>
      </c>
      <c r="D29" s="45">
        <f>tblDespesasTransporte2337[[#This Row],[R$]]/tblDespesasTransporte2337[[#This Row],[Câmbio]]</f>
        <v>-208.63607761318588</v>
      </c>
      <c r="E29" s="2"/>
      <c r="F29" s="48"/>
      <c r="G29" s="2"/>
      <c r="H29" s="48">
        <f>tblDespesasTransporte2337[[#This Row],[NZ $]]</f>
        <v>-208.63607761318588</v>
      </c>
    </row>
    <row r="30" spans="1:8">
      <c r="A30" s="14" t="s">
        <v>206</v>
      </c>
      <c r="B30" s="41">
        <v>1</v>
      </c>
      <c r="C30" s="37">
        <f t="shared" si="1"/>
        <v>2.3965000000000001</v>
      </c>
      <c r="D30" s="45">
        <f>tblDespesasTransporte2337[[#This Row],[R$]]/tblDespesasTransporte2337[[#This Row],[Câmbio]]</f>
        <v>0.41727519298977672</v>
      </c>
      <c r="E30" s="2"/>
      <c r="F30" s="48"/>
      <c r="G30" s="2"/>
      <c r="H30" s="48">
        <f>tblDespesasTransporte2337[[#This Row],[NZ $]]</f>
        <v>0.41727519298977672</v>
      </c>
    </row>
    <row r="31" spans="1:8">
      <c r="A31" s="14" t="s">
        <v>207</v>
      </c>
      <c r="B31" s="41">
        <v>1</v>
      </c>
      <c r="C31" s="37">
        <f t="shared" si="1"/>
        <v>2.3965000000000001</v>
      </c>
      <c r="D31" s="45">
        <f>tblDespesasTransporte2337[[#This Row],[R$]]/tblDespesasTransporte2337[[#This Row],[Câmbio]]</f>
        <v>0.41727519298977672</v>
      </c>
      <c r="E31" s="2"/>
      <c r="F31" s="48"/>
      <c r="G31" s="2"/>
      <c r="H31" s="48">
        <f>tblDespesasTransporte2337[[#This Row],[NZ $]]</f>
        <v>0.41727519298977672</v>
      </c>
    </row>
    <row r="32" spans="1:8">
      <c r="A32" s="14"/>
      <c r="B32" s="41"/>
      <c r="C32" s="37"/>
      <c r="D32" s="45"/>
      <c r="E32" s="2"/>
      <c r="F32" s="48"/>
      <c r="G32" s="2"/>
      <c r="H32" s="48"/>
    </row>
    <row r="33" spans="1:8">
      <c r="A33" s="14"/>
      <c r="B33" s="41"/>
      <c r="C33" s="37"/>
      <c r="D33" s="45"/>
      <c r="E33" s="2"/>
      <c r="F33" s="48"/>
      <c r="G33" s="2"/>
      <c r="H33" s="48"/>
    </row>
    <row r="34" spans="1:8">
      <c r="A34" s="14"/>
      <c r="B34" s="41"/>
      <c r="C34" s="38"/>
      <c r="D34" s="46"/>
      <c r="E34" s="2"/>
      <c r="F34" s="48"/>
      <c r="G34" s="2"/>
      <c r="H34" s="49"/>
    </row>
    <row r="35" spans="1:8">
      <c r="A35" s="14"/>
      <c r="B35" s="42"/>
      <c r="C35" s="38"/>
      <c r="D35" s="45"/>
      <c r="E35" s="2"/>
      <c r="F35" s="49"/>
      <c r="G35" s="2"/>
      <c r="H35" s="49"/>
    </row>
    <row r="36" spans="1:8">
      <c r="A36" s="35" t="s">
        <v>139</v>
      </c>
      <c r="B36" s="43">
        <f>SUM(B29:B35)</f>
        <v>-497.99635999999998</v>
      </c>
      <c r="C36" s="39"/>
      <c r="D36" s="47">
        <f>SUM(D29:D35)</f>
        <v>-207.80152722720635</v>
      </c>
      <c r="E36" s="2"/>
      <c r="F36" s="47">
        <f>SUM(F29:F34)</f>
        <v>0</v>
      </c>
      <c r="G36" s="2"/>
      <c r="H36" s="47">
        <f>SUM(H29:H34)</f>
        <v>-207.80152722720635</v>
      </c>
    </row>
    <row r="38" spans="1:8" ht="85.5">
      <c r="H38" s="78" t="s">
        <v>216</v>
      </c>
    </row>
  </sheetData>
  <mergeCells count="2">
    <mergeCell ref="A1:H1"/>
    <mergeCell ref="A24:H24"/>
  </mergeCells>
  <pageMargins left="0.511811024" right="0.511811024" top="0.78740157499999996" bottom="0.78740157499999996" header="0.31496062000000002" footer="0.31496062000000002"/>
  <pageSetup paperSize="9"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sqref="A1:H1"/>
    </sheetView>
  </sheetViews>
  <sheetFormatPr defaultRowHeight="14.25"/>
  <cols>
    <col min="1" max="1" width="27.85546875" style="2" bestFit="1" customWidth="1"/>
    <col min="2" max="2" width="18.5703125" style="2" customWidth="1"/>
    <col min="3" max="3" width="9.140625" style="2"/>
    <col min="4" max="4" width="18.42578125" style="2" customWidth="1"/>
    <col min="5" max="5" width="3.42578125" style="2" customWidth="1"/>
    <col min="6" max="6" width="20.42578125" style="2" customWidth="1"/>
    <col min="7" max="7" width="2.28515625" style="2" customWidth="1"/>
    <col min="8" max="8" width="20.42578125" style="2" customWidth="1"/>
    <col min="9" max="16384" width="9.140625" style="2"/>
  </cols>
  <sheetData>
    <row r="1" spans="1:8" ht="22.5">
      <c r="A1" s="71" t="s">
        <v>213</v>
      </c>
      <c r="B1" s="71"/>
      <c r="C1" s="71"/>
      <c r="D1" s="71"/>
      <c r="E1" s="71"/>
      <c r="F1" s="71"/>
      <c r="G1" s="71"/>
      <c r="H1" s="71"/>
    </row>
    <row r="3" spans="1:8">
      <c r="B3" s="32" t="s">
        <v>137</v>
      </c>
      <c r="C3" s="33">
        <f>Recursos!C3</f>
        <v>2.3965000000000001</v>
      </c>
      <c r="D3" s="34">
        <f>Recursos!D3</f>
        <v>42923</v>
      </c>
    </row>
    <row r="4" spans="1:8">
      <c r="A4" s="77" t="s">
        <v>212</v>
      </c>
      <c r="B4" s="76">
        <v>2</v>
      </c>
    </row>
    <row r="5" spans="1:8" s="31" customFormat="1">
      <c r="A5" s="31" t="s">
        <v>143</v>
      </c>
      <c r="B5" s="40" t="s">
        <v>136</v>
      </c>
      <c r="C5" s="36" t="s">
        <v>137</v>
      </c>
      <c r="D5" s="40" t="s">
        <v>138</v>
      </c>
      <c r="F5" s="44" t="s">
        <v>144</v>
      </c>
      <c r="H5" s="44" t="s">
        <v>145</v>
      </c>
    </row>
    <row r="6" spans="1:8">
      <c r="A6" s="14" t="s">
        <v>208</v>
      </c>
      <c r="B6" s="41">
        <f>1*B4</f>
        <v>2</v>
      </c>
      <c r="C6" s="37">
        <f t="shared" ref="C6:C19" si="0">$C$3</f>
        <v>2.3965000000000001</v>
      </c>
      <c r="D6" s="45">
        <f>tblDespesasTransporte2338[[#This Row],[R$]]/tblDespesasTransporte2338[[#This Row],[Câmbio]]</f>
        <v>0.83455038597955344</v>
      </c>
      <c r="F6" s="48">
        <f>tblDespesasTransporte2338[[#This Row],[NZ $]]</f>
        <v>0.83455038597955344</v>
      </c>
      <c r="H6" s="48"/>
    </row>
    <row r="7" spans="1:8">
      <c r="A7" s="14" t="s">
        <v>209</v>
      </c>
      <c r="B7" s="41">
        <f>1*$B$4</f>
        <v>2</v>
      </c>
      <c r="C7" s="37">
        <f t="shared" si="0"/>
        <v>2.3965000000000001</v>
      </c>
      <c r="D7" s="45">
        <f>tblDespesasTransporte2338[[#This Row],[R$]]/tblDespesasTransporte2338[[#This Row],[Câmbio]]</f>
        <v>0.83455038597955344</v>
      </c>
      <c r="F7" s="48">
        <f>tblDespesasTransporte2338[[#This Row],[NZ $]]</f>
        <v>0.83455038597955344</v>
      </c>
      <c r="H7" s="48"/>
    </row>
    <row r="8" spans="1:8">
      <c r="A8" s="14" t="s">
        <v>210</v>
      </c>
      <c r="B8" s="41">
        <f>((1)*$B$4)</f>
        <v>2</v>
      </c>
      <c r="C8" s="37">
        <f t="shared" si="0"/>
        <v>2.3965000000000001</v>
      </c>
      <c r="D8" s="45">
        <f>tblDespesasTransporte2338[[#This Row],[R$]]/tblDespesasTransporte2338[[#This Row],[Câmbio]]</f>
        <v>0.83455038597955344</v>
      </c>
      <c r="F8" s="48">
        <f>tblDespesasTransporte2338[[#This Row],[NZ $]]</f>
        <v>0.83455038597955344</v>
      </c>
      <c r="H8" s="48"/>
    </row>
    <row r="9" spans="1:8">
      <c r="A9" s="14" t="s">
        <v>211</v>
      </c>
      <c r="B9" s="41">
        <f>1*$B$4</f>
        <v>2</v>
      </c>
      <c r="C9" s="37">
        <f t="shared" si="0"/>
        <v>2.3965000000000001</v>
      </c>
      <c r="D9" s="45">
        <f>tblDespesasTransporte2338[[#This Row],[R$]]/tblDespesasTransporte2338[[#This Row],[Câmbio]]</f>
        <v>0.83455038597955344</v>
      </c>
      <c r="F9" s="48">
        <f>tblDespesasTransporte2338[[#This Row],[NZ $]]</f>
        <v>0.83455038597955344</v>
      </c>
      <c r="H9" s="48"/>
    </row>
    <row r="10" spans="1:8">
      <c r="A10" s="14" t="s">
        <v>146</v>
      </c>
      <c r="B10" s="41">
        <f>1*$B$4</f>
        <v>2</v>
      </c>
      <c r="C10" s="37">
        <f t="shared" si="0"/>
        <v>2.3965000000000001</v>
      </c>
      <c r="D10" s="45">
        <f>tblDespesasTransporte2338[[#This Row],[R$]]/tblDespesasTransporte2338[[#This Row],[Câmbio]]</f>
        <v>0.83455038597955344</v>
      </c>
      <c r="F10" s="48">
        <f>tblDespesasTransporte2338[[#This Row],[NZ $]]</f>
        <v>0.83455038597955344</v>
      </c>
      <c r="H10" s="48"/>
    </row>
    <row r="11" spans="1:8">
      <c r="A11" s="14" t="s">
        <v>214</v>
      </c>
      <c r="B11" s="41">
        <v>1</v>
      </c>
      <c r="C11" s="37">
        <f t="shared" si="0"/>
        <v>2.3965000000000001</v>
      </c>
      <c r="D11" s="45">
        <f>tblDespesasTransporte2338[[#This Row],[R$]]/tblDespesasTransporte2338[[#This Row],[Câmbio]]</f>
        <v>0.41727519298977672</v>
      </c>
      <c r="F11" s="48">
        <f>tblDespesasTransporte2338[[#This Row],[NZ $]]</f>
        <v>0.41727519298977672</v>
      </c>
      <c r="H11" s="48"/>
    </row>
    <row r="12" spans="1:8">
      <c r="A12" s="14"/>
      <c r="B12" s="41"/>
      <c r="C12" s="37">
        <f t="shared" si="0"/>
        <v>2.3965000000000001</v>
      </c>
      <c r="D12" s="45">
        <f>tblDespesasTransporte2338[[#This Row],[R$]]/tblDespesasTransporte2338[[#This Row],[Câmbio]]</f>
        <v>0</v>
      </c>
      <c r="F12" s="48">
        <f>tblDespesasTransporte2338[[#This Row],[NZ $]]</f>
        <v>0</v>
      </c>
      <c r="H12" s="48"/>
    </row>
    <row r="13" spans="1:8">
      <c r="A13" s="14"/>
      <c r="B13" s="41"/>
      <c r="C13" s="37">
        <f t="shared" si="0"/>
        <v>2.3965000000000001</v>
      </c>
      <c r="D13" s="45">
        <f>tblDespesasTransporte2338[[#This Row],[R$]]/tblDespesasTransporte2338[[#This Row],[Câmbio]]</f>
        <v>0</v>
      </c>
      <c r="F13" s="48">
        <f>tblDespesasTransporte2338[[#This Row],[NZ $]]</f>
        <v>0</v>
      </c>
      <c r="H13" s="48"/>
    </row>
    <row r="14" spans="1:8">
      <c r="A14" s="14"/>
      <c r="B14" s="41"/>
      <c r="C14" s="38">
        <f>$C$3</f>
        <v>2.3965000000000001</v>
      </c>
      <c r="D14" s="45">
        <f>tblDespesasTransporte2338[[#This Row],[R$]]/tblDespesasTransporte2338[[#This Row],[Câmbio]]</f>
        <v>0</v>
      </c>
      <c r="F14" s="48">
        <f>tblDespesasTransporte2338[[#This Row],[NZ $]]</f>
        <v>0</v>
      </c>
      <c r="H14" s="48"/>
    </row>
    <row r="15" spans="1:8">
      <c r="A15" s="14"/>
      <c r="B15" s="41"/>
      <c r="C15" s="38">
        <f t="shared" si="0"/>
        <v>2.3965000000000001</v>
      </c>
      <c r="D15" s="46">
        <f>tblDespesasTransporte2338[[#This Row],[R$]]/tblDespesasTransporte2338[[#This Row],[Câmbio]]</f>
        <v>0</v>
      </c>
      <c r="F15" s="48">
        <f>tblDespesasTransporte2338[[#This Row],[NZ $]]</f>
        <v>0</v>
      </c>
      <c r="H15" s="48"/>
    </row>
    <row r="16" spans="1:8">
      <c r="A16" s="14"/>
      <c r="B16" s="41"/>
      <c r="C16" s="38">
        <f t="shared" si="0"/>
        <v>2.3965000000000001</v>
      </c>
      <c r="D16" s="46">
        <f>tblDespesasTransporte2338[[#This Row],[R$]]/tblDespesasTransporte2338[[#This Row],[Câmbio]]</f>
        <v>0</v>
      </c>
      <c r="F16" s="48"/>
      <c r="H16" s="48">
        <f>tblDespesasTransporte2338[[#This Row],[NZ $]]</f>
        <v>0</v>
      </c>
    </row>
    <row r="17" spans="1:8">
      <c r="A17" s="14"/>
      <c r="B17" s="42"/>
      <c r="C17" s="38">
        <f t="shared" si="0"/>
        <v>2.3965000000000001</v>
      </c>
      <c r="D17" s="46">
        <f>tblDespesasTransporte2338[[#This Row],[R$]]/tblDespesasTransporte2338[[#This Row],[Câmbio]]</f>
        <v>0</v>
      </c>
      <c r="F17" s="48">
        <f>tblDespesasTransporte2338[[#This Row],[NZ $]]</f>
        <v>0</v>
      </c>
      <c r="H17" s="48"/>
    </row>
    <row r="18" spans="1:8">
      <c r="A18" s="14"/>
      <c r="B18" s="42"/>
      <c r="C18" s="38">
        <f t="shared" si="0"/>
        <v>2.3965000000000001</v>
      </c>
      <c r="D18" s="46">
        <f>tblDespesasTransporte2338[[#This Row],[R$]]/tblDespesasTransporte2338[[#This Row],[Câmbio]]</f>
        <v>0</v>
      </c>
      <c r="F18" s="48">
        <f>tblDespesasTransporte2338[[#This Row],[NZ $]]</f>
        <v>0</v>
      </c>
      <c r="H18" s="48"/>
    </row>
    <row r="19" spans="1:8">
      <c r="A19" s="14"/>
      <c r="B19" s="42"/>
      <c r="C19" s="38">
        <f t="shared" si="0"/>
        <v>2.3965000000000001</v>
      </c>
      <c r="D19" s="46">
        <f>tblDespesasTransporte2338[[#This Row],[R$]]/tblDespesasTransporte2338[[#This Row],[Câmbio]]</f>
        <v>0</v>
      </c>
      <c r="F19" s="48">
        <f>tblDespesasTransporte2338[[#This Row],[NZ $]]</f>
        <v>0</v>
      </c>
      <c r="H19" s="48"/>
    </row>
    <row r="20" spans="1:8">
      <c r="A20" s="35" t="s">
        <v>147</v>
      </c>
      <c r="B20" s="52">
        <f>SUM(B6:B19)</f>
        <v>11</v>
      </c>
      <c r="C20" s="39"/>
      <c r="D20" s="53">
        <f>SUM(D6:D19)</f>
        <v>4.5900271228875447</v>
      </c>
      <c r="F20" s="47">
        <f>SUM(F6:F15)</f>
        <v>4.5900271228875447</v>
      </c>
      <c r="H20" s="47">
        <f>SUM(H6:H15)</f>
        <v>0</v>
      </c>
    </row>
  </sheetData>
  <mergeCells count="1">
    <mergeCell ref="A1:H1"/>
  </mergeCells>
  <pageMargins left="0.511811024" right="0.511811024" top="0.78740157499999996" bottom="0.78740157499999996" header="0.31496062000000002" footer="0.31496062000000002"/>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fitToPage="1"/>
  </sheetPr>
  <dimension ref="A1:P142"/>
  <sheetViews>
    <sheetView showGridLines="0" tabSelected="1" zoomScaleNormal="100" workbookViewId="0">
      <pane ySplit="3" topLeftCell="A4" activePane="bottomLeft" state="frozen"/>
      <selection activeCell="B1" sqref="B1"/>
      <selection pane="bottomLeft" activeCell="C2" sqref="C2"/>
    </sheetView>
  </sheetViews>
  <sheetFormatPr defaultRowHeight="16.5" customHeight="1"/>
  <cols>
    <col min="1" max="1" width="1.85546875" customWidth="1"/>
    <col min="2" max="2" width="28" customWidth="1"/>
    <col min="3" max="14" width="9.5703125" customWidth="1"/>
    <col min="15" max="16" width="9.5703125" style="21" customWidth="1"/>
    <col min="17" max="17" width="0.7109375" customWidth="1"/>
  </cols>
  <sheetData>
    <row r="1" spans="1:16" ht="34.5" customHeight="1">
      <c r="A1" s="4"/>
      <c r="B1" s="4"/>
      <c r="C1" s="7" t="s">
        <v>2</v>
      </c>
      <c r="D1" s="7" t="s">
        <v>114</v>
      </c>
      <c r="E1" s="7" t="s">
        <v>3</v>
      </c>
      <c r="F1" s="7" t="s">
        <v>115</v>
      </c>
      <c r="G1" s="7" t="s">
        <v>116</v>
      </c>
      <c r="H1" s="7" t="s">
        <v>4</v>
      </c>
      <c r="I1" s="7" t="s">
        <v>5</v>
      </c>
      <c r="J1" s="7" t="s">
        <v>117</v>
      </c>
      <c r="K1" s="7" t="s">
        <v>118</v>
      </c>
      <c r="L1" s="7" t="s">
        <v>119</v>
      </c>
      <c r="M1" s="7" t="s">
        <v>6</v>
      </c>
      <c r="N1" s="7" t="s">
        <v>120</v>
      </c>
      <c r="O1" s="6" t="s">
        <v>121</v>
      </c>
      <c r="P1" s="6" t="s">
        <v>122</v>
      </c>
    </row>
    <row r="2" spans="1:16" ht="16.5" customHeight="1">
      <c r="O2" s="20"/>
      <c r="P2" s="20"/>
    </row>
    <row r="4" spans="1:16" ht="16.5" customHeight="1">
      <c r="C4" s="83" t="s">
        <v>236</v>
      </c>
    </row>
    <row r="5" spans="1:16" ht="16.5" customHeight="1">
      <c r="B5" s="27" t="s">
        <v>124</v>
      </c>
      <c r="C5" s="55">
        <f>Recursos!H36</f>
        <v>-207.80152722720635</v>
      </c>
    </row>
    <row r="6" spans="1:16" ht="16.5" customHeight="1">
      <c r="B6" s="18" t="s">
        <v>125</v>
      </c>
      <c r="C6" s="69">
        <f>SUM(tblRenda[jan])</f>
        <v>0.41727519298977672</v>
      </c>
      <c r="D6" s="69">
        <f>SUM(tblRenda[feb])</f>
        <v>0.41727519298977672</v>
      </c>
      <c r="E6" s="69">
        <f>SUM(tblRenda[mar])</f>
        <v>0.41727519298977672</v>
      </c>
      <c r="F6" s="69">
        <f>SUM(tblRenda[apr])</f>
        <v>0.41727519298977672</v>
      </c>
      <c r="G6" s="69">
        <f>SUM(tblRenda[may])</f>
        <v>0.41727519298977672</v>
      </c>
      <c r="H6" s="69">
        <f>SUM(tblRenda[jun])</f>
        <v>0.41727519298977672</v>
      </c>
      <c r="I6" s="69">
        <f>SUM(tblRenda[jul])</f>
        <v>0.41727519298977672</v>
      </c>
      <c r="J6" s="69">
        <f>SUM(tblRenda[aug])</f>
        <v>0.41727519298977672</v>
      </c>
      <c r="K6" s="69">
        <f>SUM(tblRenda[sep])</f>
        <v>0.41727519298977672</v>
      </c>
      <c r="L6" s="69">
        <f>SUM(tblRenda[oct])</f>
        <v>0.41727519298977672</v>
      </c>
      <c r="M6" s="69">
        <f>SUM(tblRenda[nov])</f>
        <v>0.41727519298977672</v>
      </c>
      <c r="N6" s="69">
        <f>SUM(tblRenda[dec])</f>
        <v>0.41727519298977672</v>
      </c>
      <c r="O6" s="70">
        <f>SUM(tblRenda[year])</f>
        <v>5.0073023158773218</v>
      </c>
      <c r="P6" s="70">
        <f>O6/12</f>
        <v>0.41727519298977683</v>
      </c>
    </row>
    <row r="7" spans="1:16" ht="16.5" customHeight="1">
      <c r="B7" s="18" t="s">
        <v>126</v>
      </c>
      <c r="C7" s="54">
        <f>SUM(tblCategoriaDespesa_01[jan],tblCategoriaDespesa_02[jan],tblCategoriaDespesa_03[jan],tblCategoriaDespesa_04[jan],tblCategoriaDespesa_05[jan],tblCategoriaDespesa_06[jan],tblCategoriaDespesa_07[jan],tblCategoriaDespesa_08[jan],tblCategoriaDespesa_09[jan],tblCategoriaDespesa_10[jan],tblCategoriaDespesa_11[jan],tblCategoriaDespesa_12[jan],tblCategoriaDespesa_13[jan],tblCategoriaDespesa_14[jan],tblCategoriaDespesa_15[jan])</f>
        <v>7377.25</v>
      </c>
      <c r="D7" s="54">
        <f>SUM(tblCategoriaDespesa_01[feb],tblCategoriaDespesa_02[feb],tblCategoriaDespesa_03[feb],tblCategoriaDespesa_04[feb],tblCategoriaDespesa_05[feb],tblCategoriaDespesa_06[feb],tblCategoriaDespesa_07[feb],tblCategoriaDespesa_08[feb],tblCategoriaDespesa_09[feb],tblCategoriaDespesa_10[feb],tblCategoriaDespesa_11[feb],tblCategoriaDespesa_12[feb],tblCategoriaDespesa_13[feb],tblCategoriaDespesa_14[feb],tblCategoriaDespesa_15[feb])</f>
        <v>4377.25</v>
      </c>
      <c r="E7" s="54">
        <f>SUM(tblCategoriaDespesa_01[mar],tblCategoriaDespesa_02[mar],tblCategoriaDespesa_03[mar],tblCategoriaDespesa_04[mar],tblCategoriaDespesa_05[mar],tblCategoriaDespesa_06[mar],tblCategoriaDespesa_07[mar],tblCategoriaDespesa_08[mar],tblCategoriaDespesa_09[mar],tblCategoriaDespesa_10[mar],tblCategoriaDespesa_11[mar],tblCategoriaDespesa_12[mar],tblCategoriaDespesa_13[mar],tblCategoriaDespesa_14[mar],tblCategoriaDespesa_15[mar])</f>
        <v>4377.25</v>
      </c>
      <c r="F7" s="54">
        <f>SUM(tblCategoriaDespesa_01[apr],tblCategoriaDespesa_02[apr],tblCategoriaDespesa_03[apr],tblCategoriaDespesa_04[apr],tblCategoriaDespesa_05[apr],tblCategoriaDespesa_06[apr],tblCategoriaDespesa_07[apr],tblCategoriaDespesa_08[apr],tblCategoriaDespesa_09[apr],tblCategoriaDespesa_10[apr],tblCategoriaDespesa_11[apr],tblCategoriaDespesa_12[apr],tblCategoriaDespesa_13[apr],tblCategoriaDespesa_14[apr],tblCategoriaDespesa_15[apr])</f>
        <v>4377.25</v>
      </c>
      <c r="G7" s="54">
        <f>SUM(tblCategoriaDespesa_01[may],tblCategoriaDespesa_02[may],tblCategoriaDespesa_03[may],tblCategoriaDespesa_04[may],tblCategoriaDespesa_05[may],tblCategoriaDespesa_06[may],tblCategoriaDespesa_07[may],tblCategoriaDespesa_08[may],tblCategoriaDespesa_09[may],tblCategoriaDespesa_10[may],tblCategoriaDespesa_11[may],tblCategoriaDespesa_12[may],tblCategoriaDespesa_13[may],tblCategoriaDespesa_14[may],tblCategoriaDespesa_15[may])</f>
        <v>4377.25</v>
      </c>
      <c r="H7" s="54">
        <f>SUM(tblCategoriaDespesa_01[jun],tblCategoriaDespesa_02[jun],tblCategoriaDespesa_03[jun],tblCategoriaDespesa_04[jun],tblCategoriaDespesa_05[jun],tblCategoriaDespesa_06[jun],tblCategoriaDespesa_07[jun],tblCategoriaDespesa_08[jun],tblCategoriaDespesa_09[jun],tblCategoriaDespesa_10[jun],tblCategoriaDespesa_11[jun],tblCategoriaDespesa_12[jun],tblCategoriaDespesa_13[jun],tblCategoriaDespesa_14[jun],tblCategoriaDespesa_15[jun])</f>
        <v>4377.25</v>
      </c>
      <c r="I7" s="54">
        <f>SUM(tblCategoriaDespesa_01[jul],tblCategoriaDespesa_02[jul],tblCategoriaDespesa_03[jul],tblCategoriaDespesa_04[jul],tblCategoriaDespesa_05[jul],tblCategoriaDespesa_06[jul],tblCategoriaDespesa_07[jul],tblCategoriaDespesa_08[jul],tblCategoriaDespesa_09[jul],tblCategoriaDespesa_10[jul],tblCategoriaDespesa_11[jul],tblCategoriaDespesa_12[jul],tblCategoriaDespesa_13[jul],tblCategoriaDespesa_14[jul],tblCategoriaDespesa_15[jul])</f>
        <v>4377.25</v>
      </c>
      <c r="J7" s="54">
        <f>SUM(tblCategoriaDespesa_01[aug],tblCategoriaDespesa_02[aug],tblCategoriaDespesa_03[aug],tblCategoriaDespesa_04[aug],tblCategoriaDespesa_05[aug],tblCategoriaDespesa_06[aug],tblCategoriaDespesa_07[aug],tblCategoriaDespesa_08[aug],tblCategoriaDespesa_09[aug],tblCategoriaDespesa_10[aug],tblCategoriaDespesa_11[aug],tblCategoriaDespesa_12[aug],tblCategoriaDespesa_13[aug],tblCategoriaDespesa_14[aug],tblCategoriaDespesa_15[aug])</f>
        <v>4377.25</v>
      </c>
      <c r="K7" s="54">
        <f>SUM(tblCategoriaDespesa_01[sep],tblCategoriaDespesa_02[sep],tblCategoriaDespesa_03[sep],tblCategoriaDespesa_04[sep],tblCategoriaDespesa_05[sep],tblCategoriaDespesa_06[sep],tblCategoriaDespesa_07[sep],tblCategoriaDespesa_08[sep],tblCategoriaDespesa_09[sep],tblCategoriaDespesa_10[sep],tblCategoriaDespesa_11[sep],tblCategoriaDespesa_12[sep],tblCategoriaDespesa_13[sep],tblCategoriaDespesa_14[sep],tblCategoriaDespesa_15[sep])</f>
        <v>4377.25</v>
      </c>
      <c r="L7" s="54">
        <f>SUM(tblCategoriaDespesa_01[oct],tblCategoriaDespesa_02[oct],tblCategoriaDespesa_03[oct],tblCategoriaDespesa_04[oct],tblCategoriaDespesa_05[oct],tblCategoriaDespesa_06[oct],tblCategoriaDespesa_07[oct],tblCategoriaDespesa_08[oct],tblCategoriaDespesa_09[oct],tblCategoriaDespesa_10[oct],tblCategoriaDespesa_11[oct],tblCategoriaDespesa_12[oct],tblCategoriaDespesa_13[oct],tblCategoriaDespesa_14[oct],tblCategoriaDespesa_15[oct])</f>
        <v>4377.25</v>
      </c>
      <c r="M7" s="54">
        <f>SUM(tblCategoriaDespesa_01[nov],tblCategoriaDespesa_02[nov],tblCategoriaDespesa_03[nov],tblCategoriaDespesa_04[nov],tblCategoriaDespesa_05[nov],tblCategoriaDespesa_06[nov],tblCategoriaDespesa_07[nov],tblCategoriaDespesa_08[nov],tblCategoriaDespesa_09[nov],tblCategoriaDespesa_10[nov],tblCategoriaDespesa_11[nov],tblCategoriaDespesa_12[nov],tblCategoriaDespesa_13[nov],tblCategoriaDespesa_14[nov],tblCategoriaDespesa_15[nov])</f>
        <v>4377.25</v>
      </c>
      <c r="N7" s="54">
        <f>SUM(tblCategoriaDespesa_01[dec],tblCategoriaDespesa_02[dec],tblCategoriaDespesa_03[dec],tblCategoriaDespesa_04[dec],tblCategoriaDespesa_05[dec],tblCategoriaDespesa_06[dec],tblCategoriaDespesa_07[dec],tblCategoriaDespesa_08[dec],tblCategoriaDespesa_09[dec],tblCategoriaDespesa_10[dec],tblCategoriaDespesa_11[dec],tblCategoriaDespesa_12[dec],tblCategoriaDespesa_13[dec],tblCategoriaDespesa_14[dec],tblCategoriaDespesa_15[dec])</f>
        <v>4377.25</v>
      </c>
      <c r="O7" s="51">
        <f>SUM(tblCategoriaDespesa_01[year],tblCategoriaDespesa_02[year],tblCategoriaDespesa_03[year],tblCategoriaDespesa_04[year],tblCategoriaDespesa_05[year],tblCategoriaDespesa_06[year],tblCategoriaDespesa_07[year],tblCategoriaDespesa_08[year],tblCategoriaDespesa_09[year],tblCategoriaDespesa_10[year],tblCategoriaDespesa_11[year],tblCategoriaDespesa_12[year],tblCategoriaDespesa_13[year],tblCategoriaDespesa_14[year],tblCategoriaDespesa_15[year])</f>
        <v>55527</v>
      </c>
      <c r="P7" s="51">
        <f>O7/12</f>
        <v>4627.25</v>
      </c>
    </row>
    <row r="8" spans="1:16" ht="16.5" customHeight="1">
      <c r="B8" s="18" t="s">
        <v>127</v>
      </c>
      <c r="C8" s="50">
        <f>C6-C7</f>
        <v>-7376.83272480701</v>
      </c>
      <c r="D8" s="50">
        <f t="shared" ref="D8:O8" si="0">D6-D7</f>
        <v>-4376.83272480701</v>
      </c>
      <c r="E8" s="50">
        <f t="shared" si="0"/>
        <v>-4376.83272480701</v>
      </c>
      <c r="F8" s="50">
        <f t="shared" si="0"/>
        <v>-4376.83272480701</v>
      </c>
      <c r="G8" s="50">
        <f t="shared" si="0"/>
        <v>-4376.83272480701</v>
      </c>
      <c r="H8" s="50">
        <f t="shared" si="0"/>
        <v>-4376.83272480701</v>
      </c>
      <c r="I8" s="50">
        <f t="shared" si="0"/>
        <v>-4376.83272480701</v>
      </c>
      <c r="J8" s="50">
        <f t="shared" si="0"/>
        <v>-4376.83272480701</v>
      </c>
      <c r="K8" s="50">
        <f t="shared" si="0"/>
        <v>-4376.83272480701</v>
      </c>
      <c r="L8" s="50">
        <f t="shared" si="0"/>
        <v>-4376.83272480701</v>
      </c>
      <c r="M8" s="50">
        <f t="shared" si="0"/>
        <v>-4376.83272480701</v>
      </c>
      <c r="N8" s="50">
        <f t="shared" si="0"/>
        <v>-4376.83272480701</v>
      </c>
      <c r="O8" s="51">
        <f t="shared" si="0"/>
        <v>-55521.992697684123</v>
      </c>
      <c r="P8" s="51">
        <f>O8/12</f>
        <v>-4626.83272480701</v>
      </c>
    </row>
    <row r="9" spans="1:16" s="59" customFormat="1" ht="16.5" customHeight="1">
      <c r="B9" s="64" t="s">
        <v>128</v>
      </c>
      <c r="C9" s="56">
        <f>C5+C6-C7</f>
        <v>-7584.6342520342168</v>
      </c>
      <c r="D9" s="56">
        <f>C9+D6-D7</f>
        <v>-11961.466976841228</v>
      </c>
      <c r="E9" s="56">
        <f t="shared" ref="E9:N9" si="1">D9+E6-E7</f>
        <v>-16338.299701648239</v>
      </c>
      <c r="F9" s="56">
        <f t="shared" si="1"/>
        <v>-20715.13242645525</v>
      </c>
      <c r="G9" s="56">
        <f t="shared" si="1"/>
        <v>-25091.965151262259</v>
      </c>
      <c r="H9" s="56">
        <f t="shared" si="1"/>
        <v>-29468.797876069268</v>
      </c>
      <c r="I9" s="56">
        <f t="shared" si="1"/>
        <v>-33845.630600876277</v>
      </c>
      <c r="J9" s="56">
        <f t="shared" si="1"/>
        <v>-38222.463325683289</v>
      </c>
      <c r="K9" s="56">
        <f t="shared" si="1"/>
        <v>-42599.296050490302</v>
      </c>
      <c r="L9" s="56">
        <f t="shared" si="1"/>
        <v>-46976.128775297315</v>
      </c>
      <c r="M9" s="56">
        <f t="shared" si="1"/>
        <v>-51352.961500104328</v>
      </c>
      <c r="N9" s="56">
        <f t="shared" si="1"/>
        <v>-55729.79422491134</v>
      </c>
      <c r="O9" s="70"/>
      <c r="P9" s="70"/>
    </row>
    <row r="10" spans="1:16" ht="16.5" customHeight="1">
      <c r="B10" s="8"/>
      <c r="C10" s="57"/>
      <c r="D10" s="57"/>
      <c r="E10" s="57"/>
      <c r="F10" s="57"/>
      <c r="G10" s="57"/>
      <c r="H10" s="57"/>
      <c r="I10" s="57"/>
      <c r="J10" s="57"/>
      <c r="K10" s="57"/>
      <c r="L10" s="57"/>
      <c r="M10" s="57"/>
      <c r="N10" s="57">
        <f>SaldoInicial-N9</f>
        <v>55521.992697684131</v>
      </c>
      <c r="O10" s="58"/>
      <c r="P10" s="58"/>
    </row>
    <row r="11" spans="1:16" ht="16.5" customHeight="1" thickBot="1">
      <c r="B11" s="8"/>
      <c r="C11" s="83" t="s">
        <v>243</v>
      </c>
      <c r="D11" s="9"/>
      <c r="E11" s="9"/>
      <c r="F11" s="9"/>
      <c r="G11" s="9"/>
      <c r="H11" s="9"/>
      <c r="I11" s="9"/>
      <c r="J11" s="9"/>
      <c r="K11" s="9"/>
      <c r="L11" s="9"/>
      <c r="M11" s="9"/>
      <c r="N11" s="9"/>
      <c r="O11" s="23"/>
      <c r="P11" s="23"/>
    </row>
    <row r="12" spans="1:16" ht="16.5" customHeight="1" thickTop="1">
      <c r="B12" s="13" t="s">
        <v>8</v>
      </c>
      <c r="C12" s="10"/>
      <c r="D12" s="10"/>
      <c r="E12" s="10"/>
      <c r="F12" s="10"/>
      <c r="G12" s="10"/>
      <c r="H12" s="10"/>
      <c r="I12" s="10"/>
      <c r="J12" s="10"/>
      <c r="K12" s="10"/>
      <c r="L12" s="10"/>
      <c r="M12" s="10"/>
      <c r="N12" s="10"/>
      <c r="O12" s="24"/>
      <c r="P12" s="24"/>
    </row>
    <row r="13" spans="1:16" ht="16.5" customHeight="1">
      <c r="B13" s="18" t="s">
        <v>9</v>
      </c>
      <c r="C13" s="80">
        <v>0</v>
      </c>
      <c r="D13" s="19">
        <f>tblRenda[[#This Row],[jan]]</f>
        <v>0</v>
      </c>
      <c r="E13" s="19">
        <f>tblRenda[[#This Row],[feb]]</f>
        <v>0</v>
      </c>
      <c r="F13" s="19">
        <f>tblRenda[[#This Row],[mar]]</f>
        <v>0</v>
      </c>
      <c r="G13" s="19">
        <f>tblRenda[[#This Row],[apr]]</f>
        <v>0</v>
      </c>
      <c r="H13" s="19">
        <f>tblRenda[[#This Row],[may]]</f>
        <v>0</v>
      </c>
      <c r="I13" s="19">
        <f>tblRenda[[#This Row],[jun]]</f>
        <v>0</v>
      </c>
      <c r="J13" s="19">
        <f>tblRenda[[#This Row],[jul]]</f>
        <v>0</v>
      </c>
      <c r="K13" s="19">
        <f>tblRenda[[#This Row],[aug]]</f>
        <v>0</v>
      </c>
      <c r="L13" s="19">
        <f>tblRenda[[#This Row],[sep]]</f>
        <v>0</v>
      </c>
      <c r="M13" s="19">
        <f>tblRenda[[#This Row],[oct]]</f>
        <v>0</v>
      </c>
      <c r="N13" s="19">
        <f>tblRenda[[#This Row],[nov]]</f>
        <v>0</v>
      </c>
      <c r="O13" s="51">
        <f>SUM(tblRenda[[#This Row],[jan]:[dec]])</f>
        <v>0</v>
      </c>
      <c r="P13" s="51">
        <f>tblRenda[[#This Row],[year]]/12</f>
        <v>0</v>
      </c>
    </row>
    <row r="14" spans="1:16" ht="16.5" customHeight="1">
      <c r="B14" s="18" t="s">
        <v>217</v>
      </c>
      <c r="C14" s="50">
        <f>Recursos!H31</f>
        <v>0.41727519298977672</v>
      </c>
      <c r="D14" s="50">
        <f>tblRenda[[#This Row],[jan]]</f>
        <v>0.41727519298977672</v>
      </c>
      <c r="E14" s="50">
        <f>tblRenda[[#This Row],[feb]]</f>
        <v>0.41727519298977672</v>
      </c>
      <c r="F14" s="50">
        <f>tblRenda[[#This Row],[mar]]</f>
        <v>0.41727519298977672</v>
      </c>
      <c r="G14" s="50">
        <f>tblRenda[[#This Row],[apr]]</f>
        <v>0.41727519298977672</v>
      </c>
      <c r="H14" s="50">
        <f>tblRenda[[#This Row],[may]]</f>
        <v>0.41727519298977672</v>
      </c>
      <c r="I14" s="50">
        <f>tblRenda[[#This Row],[jun]]</f>
        <v>0.41727519298977672</v>
      </c>
      <c r="J14" s="50">
        <f>tblRenda[[#This Row],[jul]]</f>
        <v>0.41727519298977672</v>
      </c>
      <c r="K14" s="50">
        <f>tblRenda[[#This Row],[aug]]</f>
        <v>0.41727519298977672</v>
      </c>
      <c r="L14" s="50">
        <f>tblRenda[[#This Row],[sep]]</f>
        <v>0.41727519298977672</v>
      </c>
      <c r="M14" s="50">
        <f>tblRenda[[#This Row],[oct]]</f>
        <v>0.41727519298977672</v>
      </c>
      <c r="N14" s="50">
        <f>tblRenda[[#This Row],[nov]]</f>
        <v>0.41727519298977672</v>
      </c>
      <c r="O14" s="51">
        <f>SUM(tblRenda[[#This Row],[jan]:[dec]])</f>
        <v>5.0073023158773218</v>
      </c>
      <c r="P14" s="51">
        <f>tblRenda[[#This Row],[year]]/12</f>
        <v>0.41727519298977683</v>
      </c>
    </row>
    <row r="15" spans="1:16" ht="16.5" customHeight="1">
      <c r="B15" s="18" t="s">
        <v>12</v>
      </c>
      <c r="C15" s="81">
        <v>0</v>
      </c>
      <c r="D15" s="19">
        <f>tblRenda[[#This Row],[jan]]</f>
        <v>0</v>
      </c>
      <c r="E15" s="19">
        <f>tblRenda[[#This Row],[feb]]</f>
        <v>0</v>
      </c>
      <c r="F15" s="19">
        <f>tblRenda[[#This Row],[mar]]</f>
        <v>0</v>
      </c>
      <c r="G15" s="19">
        <f>tblRenda[[#This Row],[apr]]</f>
        <v>0</v>
      </c>
      <c r="H15" s="19">
        <f>tblRenda[[#This Row],[may]]</f>
        <v>0</v>
      </c>
      <c r="I15" s="19">
        <f>tblRenda[[#This Row],[jun]]</f>
        <v>0</v>
      </c>
      <c r="J15" s="19">
        <f>tblRenda[[#This Row],[jul]]</f>
        <v>0</v>
      </c>
      <c r="K15" s="19">
        <f>tblRenda[[#This Row],[aug]]</f>
        <v>0</v>
      </c>
      <c r="L15" s="19">
        <f>tblRenda[[#This Row],[sep]]</f>
        <v>0</v>
      </c>
      <c r="M15" s="19">
        <f>tblRenda[[#This Row],[oct]]</f>
        <v>0</v>
      </c>
      <c r="N15" s="19">
        <f>tblRenda[[#This Row],[nov]]</f>
        <v>0</v>
      </c>
      <c r="O15" s="51">
        <f>SUM(tblRenda[[#This Row],[jan]:[dec]])</f>
        <v>0</v>
      </c>
      <c r="P15" s="51">
        <f>tblRenda[[#This Row],[year]]/12</f>
        <v>0</v>
      </c>
    </row>
    <row r="16" spans="1:16" ht="16.5" customHeight="1">
      <c r="B16" s="18" t="s">
        <v>13</v>
      </c>
      <c r="C16" s="82">
        <f>Recursos!H33</f>
        <v>0</v>
      </c>
      <c r="D16" s="50">
        <f>tblRenda[[#This Row],[jan]]</f>
        <v>0</v>
      </c>
      <c r="E16" s="50">
        <f>tblRenda[[#This Row],[feb]]</f>
        <v>0</v>
      </c>
      <c r="F16" s="50">
        <f>tblRenda[[#This Row],[mar]]</f>
        <v>0</v>
      </c>
      <c r="G16" s="50">
        <f>tblRenda[[#This Row],[apr]]</f>
        <v>0</v>
      </c>
      <c r="H16" s="50">
        <f>tblRenda[[#This Row],[may]]</f>
        <v>0</v>
      </c>
      <c r="I16" s="50">
        <f>tblRenda[[#This Row],[jun]]</f>
        <v>0</v>
      </c>
      <c r="J16" s="50">
        <f>tblRenda[[#This Row],[jul]]</f>
        <v>0</v>
      </c>
      <c r="K16" s="50">
        <f>tblRenda[[#This Row],[aug]]</f>
        <v>0</v>
      </c>
      <c r="L16" s="50">
        <f>tblRenda[[#This Row],[sep]]</f>
        <v>0</v>
      </c>
      <c r="M16" s="50">
        <f>tblRenda[[#This Row],[oct]]</f>
        <v>0</v>
      </c>
      <c r="N16" s="50">
        <f>tblRenda[[#This Row],[nov]]</f>
        <v>0</v>
      </c>
      <c r="O16" s="51">
        <f>SUM(tblRenda[[#This Row],[jan]:[dec]])</f>
        <v>0</v>
      </c>
      <c r="P16" s="51">
        <f>tblRenda[[#This Row],[year]]/12</f>
        <v>0</v>
      </c>
    </row>
    <row r="17" spans="2:16" ht="16.5" customHeight="1">
      <c r="B17" s="18" t="s">
        <v>218</v>
      </c>
      <c r="C17" s="80">
        <v>0</v>
      </c>
      <c r="D17" s="19">
        <f>tblRenda[[#This Row],[jan]]</f>
        <v>0</v>
      </c>
      <c r="E17" s="19">
        <f>tblRenda[[#This Row],[feb]]</f>
        <v>0</v>
      </c>
      <c r="F17" s="19">
        <f>tblRenda[[#This Row],[mar]]</f>
        <v>0</v>
      </c>
      <c r="G17" s="19">
        <f>tblRenda[[#This Row],[apr]]</f>
        <v>0</v>
      </c>
      <c r="H17" s="19">
        <f>tblRenda[[#This Row],[may]]</f>
        <v>0</v>
      </c>
      <c r="I17" s="19">
        <f>tblRenda[[#This Row],[jun]]</f>
        <v>0</v>
      </c>
      <c r="J17" s="19">
        <f>tblRenda[[#This Row],[jul]]</f>
        <v>0</v>
      </c>
      <c r="K17" s="19">
        <f>tblRenda[[#This Row],[aug]]</f>
        <v>0</v>
      </c>
      <c r="L17" s="19">
        <f>tblRenda[[#This Row],[sep]]</f>
        <v>0</v>
      </c>
      <c r="M17" s="19">
        <f>tblRenda[[#This Row],[oct]]</f>
        <v>0</v>
      </c>
      <c r="N17" s="19">
        <f>tblRenda[[#This Row],[nov]]</f>
        <v>0</v>
      </c>
      <c r="O17" s="51">
        <f>SUM(tblRenda[[#This Row],[jan]:[dec]])</f>
        <v>0</v>
      </c>
      <c r="P17" s="51">
        <f>tblRenda[[#This Row],[year]]/12</f>
        <v>0</v>
      </c>
    </row>
    <row r="18" spans="2:16" ht="16.5" customHeight="1">
      <c r="B18" s="65" t="s">
        <v>129</v>
      </c>
      <c r="C18" s="66">
        <f>SUM(tblRenda[jan])</f>
        <v>0.41727519298977672</v>
      </c>
      <c r="D18" s="66">
        <f>SUM(tblRenda[feb])</f>
        <v>0.41727519298977672</v>
      </c>
      <c r="E18" s="66">
        <f>SUM(tblRenda[mar])</f>
        <v>0.41727519298977672</v>
      </c>
      <c r="F18" s="66">
        <f>SUM(tblRenda[apr])</f>
        <v>0.41727519298977672</v>
      </c>
      <c r="G18" s="66">
        <f>SUM(tblRenda[may])</f>
        <v>0.41727519298977672</v>
      </c>
      <c r="H18" s="66">
        <f>SUM(tblRenda[jun])</f>
        <v>0.41727519298977672</v>
      </c>
      <c r="I18" s="66">
        <f>SUM(tblRenda[jul])</f>
        <v>0.41727519298977672</v>
      </c>
      <c r="J18" s="66">
        <f>SUM(tblRenda[aug])</f>
        <v>0.41727519298977672</v>
      </c>
      <c r="K18" s="66">
        <f>SUM(tblRenda[sep])</f>
        <v>0.41727519298977672</v>
      </c>
      <c r="L18" s="66">
        <f>SUM(tblRenda[oct])</f>
        <v>0.41727519298977672</v>
      </c>
      <c r="M18" s="66">
        <f>SUM(tblRenda[nov])</f>
        <v>0.41727519298977672</v>
      </c>
      <c r="N18" s="66">
        <f>SUM(tblRenda[dec])</f>
        <v>0.41727519298977672</v>
      </c>
      <c r="O18" s="67">
        <f>SUM(tblRenda[year])</f>
        <v>5.0073023158773218</v>
      </c>
      <c r="P18" s="67">
        <f>tblRenda[[#Totals],[year]]/12</f>
        <v>0.41727519298977683</v>
      </c>
    </row>
    <row r="19" spans="2:16" ht="16.5" customHeight="1">
      <c r="B19" s="72"/>
      <c r="C19" s="72"/>
      <c r="D19" s="72"/>
      <c r="E19" s="72"/>
      <c r="F19" s="72"/>
      <c r="G19" s="72"/>
      <c r="H19" s="72"/>
      <c r="I19" s="72"/>
      <c r="J19" s="72"/>
      <c r="K19" s="72"/>
      <c r="L19" s="72"/>
      <c r="M19" s="72"/>
      <c r="N19" s="72"/>
      <c r="O19" s="23"/>
      <c r="P19" s="23"/>
    </row>
    <row r="20" spans="2:16" ht="16.5" customHeight="1" thickBot="1">
      <c r="B20" s="8"/>
      <c r="C20" s="9"/>
      <c r="D20" s="9"/>
      <c r="E20" s="9"/>
      <c r="F20" s="9"/>
      <c r="G20" s="9"/>
      <c r="H20" s="9"/>
      <c r="I20" s="9"/>
      <c r="J20" s="9"/>
      <c r="K20" s="9"/>
      <c r="L20" s="9"/>
      <c r="M20" s="9"/>
      <c r="N20" s="9"/>
      <c r="O20" s="23"/>
      <c r="P20" s="23"/>
    </row>
    <row r="21" spans="2:16" ht="16.5" customHeight="1" thickTop="1">
      <c r="B21" s="13" t="s">
        <v>235</v>
      </c>
      <c r="C21" s="10"/>
      <c r="D21" s="10"/>
      <c r="E21" s="10"/>
      <c r="F21" s="10"/>
      <c r="G21" s="10"/>
      <c r="H21" s="10"/>
      <c r="I21" s="10"/>
      <c r="J21" s="10"/>
      <c r="K21" s="10"/>
      <c r="L21" s="10"/>
      <c r="M21" s="10"/>
      <c r="N21" s="10"/>
      <c r="O21" s="24"/>
      <c r="P21" s="24"/>
    </row>
    <row r="22" spans="2:16" ht="16.5" customHeight="1">
      <c r="B22" s="18" t="s">
        <v>32</v>
      </c>
      <c r="C22" s="19">
        <f>tblCategoriaDespesa_01[[#This Row],[feb]]+tblCategoriaDespesa_01[[#This Row],[feb]]+(tblCategoriaDespesa_01[[#This Row],[feb]]/4)</f>
        <v>5400</v>
      </c>
      <c r="D22" s="80">
        <f>600*4</f>
        <v>2400</v>
      </c>
      <c r="E22" s="19">
        <f>tblCategoriaDespesa_01[[#This Row],[feb]]</f>
        <v>2400</v>
      </c>
      <c r="F22" s="19">
        <f>tblCategoriaDespesa_01[[#This Row],[mar]]</f>
        <v>2400</v>
      </c>
      <c r="G22" s="19">
        <f>tblCategoriaDespesa_01[[#This Row],[apr]]</f>
        <v>2400</v>
      </c>
      <c r="H22" s="19">
        <f>tblCategoriaDespesa_01[[#This Row],[may]]</f>
        <v>2400</v>
      </c>
      <c r="I22" s="19">
        <f>tblCategoriaDespesa_01[[#This Row],[jun]]</f>
        <v>2400</v>
      </c>
      <c r="J22" s="19">
        <f>tblCategoriaDespesa_01[[#This Row],[jul]]</f>
        <v>2400</v>
      </c>
      <c r="K22" s="19">
        <f>tblCategoriaDespesa_01[[#This Row],[aug]]</f>
        <v>2400</v>
      </c>
      <c r="L22" s="19">
        <f>tblCategoriaDespesa_01[[#This Row],[sep]]</f>
        <v>2400</v>
      </c>
      <c r="M22" s="19">
        <f>tblCategoriaDespesa_01[[#This Row],[oct]]</f>
        <v>2400</v>
      </c>
      <c r="N22" s="19">
        <f>tblCategoriaDespesa_01[[#This Row],[nov]]</f>
        <v>2400</v>
      </c>
      <c r="O22" s="22">
        <f>SUM(tblCategoriaDespesa_01[[#This Row],[jan]:[dec]])</f>
        <v>31800</v>
      </c>
      <c r="P22" s="22">
        <f>tblCategoriaDespesa_01[[#This Row],[year]]/12</f>
        <v>2650</v>
      </c>
    </row>
    <row r="23" spans="2:16" s="2" customFormat="1" ht="16.5" customHeight="1">
      <c r="B23" s="18" t="s">
        <v>229</v>
      </c>
      <c r="C23" s="79"/>
      <c r="D23" s="79"/>
      <c r="E23" s="79"/>
      <c r="F23" s="79"/>
      <c r="G23" s="79"/>
      <c r="H23" s="79"/>
      <c r="I23" s="79"/>
      <c r="J23" s="79"/>
      <c r="K23" s="79"/>
      <c r="L23" s="79"/>
      <c r="M23" s="79"/>
      <c r="N23" s="79"/>
      <c r="O23" s="22">
        <f>SUM(tblCategoriaDespesa_01[[#This Row],[jan]:[dec]])</f>
        <v>0</v>
      </c>
      <c r="P23" s="22">
        <f>tblCategoriaDespesa_01[[#This Row],[year]]/12</f>
        <v>0</v>
      </c>
    </row>
    <row r="24" spans="2:16" ht="16.5" customHeight="1">
      <c r="B24" s="18" t="s">
        <v>220</v>
      </c>
      <c r="C24" s="79">
        <v>180</v>
      </c>
      <c r="D24" s="19">
        <f>tblCategoriaDespesa_01[[#This Row],[jan]]</f>
        <v>180</v>
      </c>
      <c r="E24" s="19">
        <f>tblCategoriaDespesa_01[[#This Row],[feb]]</f>
        <v>180</v>
      </c>
      <c r="F24" s="19">
        <f>tblCategoriaDespesa_01[[#This Row],[mar]]</f>
        <v>180</v>
      </c>
      <c r="G24" s="19">
        <f>tblCategoriaDespesa_01[[#This Row],[apr]]</f>
        <v>180</v>
      </c>
      <c r="H24" s="19">
        <f>tblCategoriaDespesa_01[[#This Row],[may]]</f>
        <v>180</v>
      </c>
      <c r="I24" s="19">
        <f>tblCategoriaDespesa_01[[#This Row],[jun]]</f>
        <v>180</v>
      </c>
      <c r="J24" s="19">
        <f>tblCategoriaDespesa_01[[#This Row],[jul]]</f>
        <v>180</v>
      </c>
      <c r="K24" s="19">
        <f>tblCategoriaDespesa_01[[#This Row],[aug]]</f>
        <v>180</v>
      </c>
      <c r="L24" s="19">
        <f>tblCategoriaDespesa_01[[#This Row],[sep]]</f>
        <v>180</v>
      </c>
      <c r="M24" s="19">
        <f>tblCategoriaDespesa_01[[#This Row],[oct]]</f>
        <v>180</v>
      </c>
      <c r="N24" s="19">
        <f>tblCategoriaDespesa_01[[#This Row],[nov]]</f>
        <v>180</v>
      </c>
      <c r="O24" s="22">
        <f>SUM(tblCategoriaDespesa_01[[#This Row],[jan]:[dec]])</f>
        <v>2160</v>
      </c>
      <c r="P24" s="22">
        <f>tblCategoriaDespesa_01[[#This Row],[year]]/12</f>
        <v>180</v>
      </c>
    </row>
    <row r="25" spans="2:16" ht="16.5" customHeight="1">
      <c r="B25" s="18" t="s">
        <v>36</v>
      </c>
      <c r="C25" s="80">
        <v>0</v>
      </c>
      <c r="D25" s="19">
        <f>tblCategoriaDespesa_01[[#This Row],[jan]]</f>
        <v>0</v>
      </c>
      <c r="E25" s="19">
        <f>tblCategoriaDespesa_01[[#This Row],[feb]]</f>
        <v>0</v>
      </c>
      <c r="F25" s="19">
        <f>tblCategoriaDespesa_01[[#This Row],[mar]]</f>
        <v>0</v>
      </c>
      <c r="G25" s="19">
        <f>tblCategoriaDespesa_01[[#This Row],[apr]]</f>
        <v>0</v>
      </c>
      <c r="H25" s="19">
        <f>tblCategoriaDespesa_01[[#This Row],[may]]</f>
        <v>0</v>
      </c>
      <c r="I25" s="19">
        <f>tblCategoriaDespesa_01[[#This Row],[jun]]</f>
        <v>0</v>
      </c>
      <c r="J25" s="19">
        <f>tblCategoriaDespesa_01[[#This Row],[jul]]</f>
        <v>0</v>
      </c>
      <c r="K25" s="19">
        <f>tblCategoriaDespesa_01[[#This Row],[aug]]</f>
        <v>0</v>
      </c>
      <c r="L25" s="19">
        <f>tblCategoriaDespesa_01[[#This Row],[sep]]</f>
        <v>0</v>
      </c>
      <c r="M25" s="19">
        <f>tblCategoriaDespesa_01[[#This Row],[oct]]</f>
        <v>0</v>
      </c>
      <c r="N25" s="19">
        <f>tblCategoriaDespesa_01[[#This Row],[nov]]</f>
        <v>0</v>
      </c>
      <c r="O25" s="22">
        <f>SUM(tblCategoriaDespesa_01[[#This Row],[jan]:[dec]])</f>
        <v>0</v>
      </c>
      <c r="P25" s="22">
        <f>tblCategoriaDespesa_01[[#This Row],[year]]/12</f>
        <v>0</v>
      </c>
    </row>
    <row r="26" spans="2:16" ht="16.5" customHeight="1">
      <c r="B26" s="18" t="s">
        <v>37</v>
      </c>
      <c r="C26" s="79">
        <v>69</v>
      </c>
      <c r="D26" s="19">
        <f>tblCategoriaDespesa_01[[#This Row],[jan]]</f>
        <v>69</v>
      </c>
      <c r="E26" s="19">
        <f>tblCategoriaDespesa_01[[#This Row],[feb]]</f>
        <v>69</v>
      </c>
      <c r="F26" s="19">
        <f>tblCategoriaDespesa_01[[#This Row],[mar]]</f>
        <v>69</v>
      </c>
      <c r="G26" s="19">
        <f>tblCategoriaDespesa_01[[#This Row],[apr]]</f>
        <v>69</v>
      </c>
      <c r="H26" s="19">
        <f>tblCategoriaDespesa_01[[#This Row],[may]]</f>
        <v>69</v>
      </c>
      <c r="I26" s="19">
        <f>tblCategoriaDespesa_01[[#This Row],[jun]]</f>
        <v>69</v>
      </c>
      <c r="J26" s="19">
        <f>tblCategoriaDespesa_01[[#This Row],[jul]]</f>
        <v>69</v>
      </c>
      <c r="K26" s="19">
        <f>tblCategoriaDespesa_01[[#This Row],[aug]]</f>
        <v>69</v>
      </c>
      <c r="L26" s="19">
        <f>tblCategoriaDespesa_01[[#This Row],[sep]]</f>
        <v>69</v>
      </c>
      <c r="M26" s="19">
        <f>tblCategoriaDespesa_01[[#This Row],[oct]]</f>
        <v>69</v>
      </c>
      <c r="N26" s="19">
        <f>tblCategoriaDespesa_01[[#This Row],[nov]]</f>
        <v>69</v>
      </c>
      <c r="O26" s="22">
        <f>SUM(tblCategoriaDespesa_01[[#This Row],[jan]:[dec]])</f>
        <v>828</v>
      </c>
      <c r="P26" s="22">
        <f>tblCategoriaDespesa_01[[#This Row],[year]]/12</f>
        <v>69</v>
      </c>
    </row>
    <row r="27" spans="2:16" s="2" customFormat="1" ht="16.5" customHeight="1">
      <c r="B27" s="18" t="s">
        <v>35</v>
      </c>
      <c r="C27" s="80">
        <v>70</v>
      </c>
      <c r="D27" s="19">
        <f>tblCategoriaDespesa_01[[#This Row],[jan]]</f>
        <v>70</v>
      </c>
      <c r="E27" s="19">
        <f>tblCategoriaDespesa_01[[#This Row],[feb]]</f>
        <v>70</v>
      </c>
      <c r="F27" s="19">
        <f>tblCategoriaDespesa_01[[#This Row],[mar]]</f>
        <v>70</v>
      </c>
      <c r="G27" s="19">
        <f>tblCategoriaDespesa_01[[#This Row],[apr]]</f>
        <v>70</v>
      </c>
      <c r="H27" s="19">
        <f>tblCategoriaDespesa_01[[#This Row],[may]]</f>
        <v>70</v>
      </c>
      <c r="I27" s="19">
        <f>tblCategoriaDespesa_01[[#This Row],[jun]]</f>
        <v>70</v>
      </c>
      <c r="J27" s="19">
        <f>tblCategoriaDespesa_01[[#This Row],[jul]]</f>
        <v>70</v>
      </c>
      <c r="K27" s="19">
        <f>tblCategoriaDespesa_01[[#This Row],[aug]]</f>
        <v>70</v>
      </c>
      <c r="L27" s="19">
        <f>tblCategoriaDespesa_01[[#This Row],[sep]]</f>
        <v>70</v>
      </c>
      <c r="M27" s="19">
        <f>tblCategoriaDespesa_01[[#This Row],[oct]]</f>
        <v>70</v>
      </c>
      <c r="N27" s="19">
        <f>tblCategoriaDespesa_01[[#This Row],[nov]]</f>
        <v>70</v>
      </c>
      <c r="O27" s="22">
        <f>SUM(tblCategoriaDespesa_01[[#This Row],[jan]:[dec]])</f>
        <v>840</v>
      </c>
      <c r="P27" s="22">
        <f>tblCategoriaDespesa_01[[#This Row],[year]]/12</f>
        <v>70</v>
      </c>
    </row>
    <row r="28" spans="2:16" s="2" customFormat="1" ht="16.5" customHeight="1">
      <c r="B28" s="18" t="s">
        <v>219</v>
      </c>
      <c r="C28" s="79">
        <f t="shared" ref="C28" si="2">2.5*4</f>
        <v>10</v>
      </c>
      <c r="D28" s="19">
        <f>tblCategoriaDespesa_01[[#This Row],[jan]]</f>
        <v>10</v>
      </c>
      <c r="E28" s="19">
        <f>tblCategoriaDespesa_01[[#This Row],[feb]]</f>
        <v>10</v>
      </c>
      <c r="F28" s="19">
        <f>tblCategoriaDespesa_01[[#This Row],[mar]]</f>
        <v>10</v>
      </c>
      <c r="G28" s="19">
        <f>tblCategoriaDespesa_01[[#This Row],[apr]]</f>
        <v>10</v>
      </c>
      <c r="H28" s="19">
        <f>tblCategoriaDespesa_01[[#This Row],[may]]</f>
        <v>10</v>
      </c>
      <c r="I28" s="19">
        <f>tblCategoriaDespesa_01[[#This Row],[jun]]</f>
        <v>10</v>
      </c>
      <c r="J28" s="19">
        <f>tblCategoriaDespesa_01[[#This Row],[jul]]</f>
        <v>10</v>
      </c>
      <c r="K28" s="19">
        <f>tblCategoriaDespesa_01[[#This Row],[aug]]</f>
        <v>10</v>
      </c>
      <c r="L28" s="19">
        <f>tblCategoriaDespesa_01[[#This Row],[sep]]</f>
        <v>10</v>
      </c>
      <c r="M28" s="19">
        <f>tblCategoriaDespesa_01[[#This Row],[oct]]</f>
        <v>10</v>
      </c>
      <c r="N28" s="19">
        <f>tblCategoriaDespesa_01[[#This Row],[nov]]</f>
        <v>10</v>
      </c>
      <c r="O28" s="22">
        <f>SUM(tblCategoriaDespesa_01[[#This Row],[jan]:[dec]])</f>
        <v>120</v>
      </c>
      <c r="P28" s="22">
        <f>tblCategoriaDespesa_01[[#This Row],[year]]/12</f>
        <v>10</v>
      </c>
    </row>
    <row r="29" spans="2:16" ht="16.5" customHeight="1">
      <c r="B29" s="18" t="s">
        <v>0</v>
      </c>
      <c r="C29" s="80">
        <v>80</v>
      </c>
      <c r="D29" s="19">
        <f>tblCategoriaDespesa_01[[#This Row],[jan]]</f>
        <v>80</v>
      </c>
      <c r="E29" s="19">
        <f>tblCategoriaDespesa_01[[#This Row],[feb]]</f>
        <v>80</v>
      </c>
      <c r="F29" s="19">
        <f>tblCategoriaDespesa_01[[#This Row],[mar]]</f>
        <v>80</v>
      </c>
      <c r="G29" s="19">
        <f>tblCategoriaDespesa_01[[#This Row],[apr]]</f>
        <v>80</v>
      </c>
      <c r="H29" s="19">
        <f>tblCategoriaDespesa_01[[#This Row],[may]]</f>
        <v>80</v>
      </c>
      <c r="I29" s="19">
        <f>tblCategoriaDespesa_01[[#This Row],[jun]]</f>
        <v>80</v>
      </c>
      <c r="J29" s="19">
        <f>tblCategoriaDespesa_01[[#This Row],[jul]]</f>
        <v>80</v>
      </c>
      <c r="K29" s="19">
        <f>tblCategoriaDespesa_01[[#This Row],[aug]]</f>
        <v>80</v>
      </c>
      <c r="L29" s="19">
        <f>tblCategoriaDespesa_01[[#This Row],[sep]]</f>
        <v>80</v>
      </c>
      <c r="M29" s="19">
        <f>tblCategoriaDespesa_01[[#This Row],[oct]]</f>
        <v>80</v>
      </c>
      <c r="N29" s="19">
        <f>tblCategoriaDespesa_01[[#This Row],[nov]]</f>
        <v>80</v>
      </c>
      <c r="O29" s="22">
        <f>SUM(tblCategoriaDespesa_01[[#This Row],[jan]:[dec]])</f>
        <v>960</v>
      </c>
      <c r="P29" s="22">
        <f>tblCategoriaDespesa_01[[#This Row],[year]]/12</f>
        <v>80</v>
      </c>
    </row>
    <row r="30" spans="2:16" ht="16.5" customHeight="1">
      <c r="B30" s="64" t="str">
        <f>UPPER("Total " &amp; B21)</f>
        <v>TOTAL MORADIA</v>
      </c>
      <c r="C30" s="62">
        <f>SUM(tblCategoriaDespesa_01[jan])</f>
        <v>5809</v>
      </c>
      <c r="D30" s="62">
        <f>SUM(tblCategoriaDespesa_01[feb])</f>
        <v>2809</v>
      </c>
      <c r="E30" s="62">
        <f>SUM(tblCategoriaDespesa_01[mar])</f>
        <v>2809</v>
      </c>
      <c r="F30" s="62">
        <f>SUM(tblCategoriaDespesa_01[apr])</f>
        <v>2809</v>
      </c>
      <c r="G30" s="62">
        <f>SUM(tblCategoriaDespesa_01[may])</f>
        <v>2809</v>
      </c>
      <c r="H30" s="62">
        <f>SUM(tblCategoriaDespesa_01[jun])</f>
        <v>2809</v>
      </c>
      <c r="I30" s="62">
        <f>SUM(tblCategoriaDespesa_01[jul])</f>
        <v>2809</v>
      </c>
      <c r="J30" s="62">
        <f>SUM(tblCategoriaDespesa_01[aug])</f>
        <v>2809</v>
      </c>
      <c r="K30" s="62">
        <f>SUM(tblCategoriaDespesa_01[sep])</f>
        <v>2809</v>
      </c>
      <c r="L30" s="62">
        <f>SUM(tblCategoriaDespesa_01[oct])</f>
        <v>2809</v>
      </c>
      <c r="M30" s="62">
        <f>SUM(tblCategoriaDespesa_01[nov])</f>
        <v>2809</v>
      </c>
      <c r="N30" s="62">
        <f>SUM(tblCategoriaDespesa_01[dec])</f>
        <v>2809</v>
      </c>
      <c r="O30" s="63">
        <f>SUM(tblCategoriaDespesa_01[year])</f>
        <v>36708</v>
      </c>
      <c r="P30" s="63">
        <f>tblCategoriaDespesa_01[[#Totals],[year]]/12</f>
        <v>3059</v>
      </c>
    </row>
    <row r="31" spans="2:16" ht="16.5" customHeight="1">
      <c r="B31" s="72"/>
      <c r="C31" s="72"/>
      <c r="D31" s="72"/>
      <c r="E31" s="72"/>
      <c r="F31" s="72"/>
      <c r="G31" s="72"/>
      <c r="H31" s="72"/>
      <c r="I31" s="72"/>
      <c r="J31" s="72"/>
      <c r="K31" s="72"/>
      <c r="L31" s="72"/>
      <c r="M31" s="72"/>
      <c r="N31" s="72"/>
      <c r="O31" s="23"/>
      <c r="P31" s="23"/>
    </row>
    <row r="32" spans="2:16" ht="16.5" customHeight="1" thickBot="1">
      <c r="B32" s="8"/>
      <c r="C32" s="83" t="s">
        <v>244</v>
      </c>
      <c r="D32" s="9"/>
      <c r="E32" s="9"/>
      <c r="F32" s="9"/>
      <c r="G32" s="9"/>
      <c r="H32" s="9"/>
      <c r="I32" s="9"/>
      <c r="J32" s="9"/>
      <c r="K32" s="9"/>
      <c r="L32" s="9"/>
      <c r="M32" s="9"/>
      <c r="N32" s="9"/>
      <c r="O32" s="23"/>
      <c r="P32" s="23"/>
    </row>
    <row r="33" spans="2:16" ht="16.5" customHeight="1" thickTop="1">
      <c r="B33" s="13" t="s">
        <v>234</v>
      </c>
      <c r="C33" s="10"/>
      <c r="D33" s="10"/>
      <c r="E33" s="10"/>
      <c r="F33" s="10"/>
      <c r="G33" s="10"/>
      <c r="H33" s="10"/>
      <c r="I33" s="10"/>
      <c r="J33" s="10"/>
      <c r="K33" s="10"/>
      <c r="L33" s="10"/>
      <c r="M33" s="10"/>
      <c r="N33" s="10"/>
      <c r="O33" s="24"/>
      <c r="P33" s="24"/>
    </row>
    <row r="34" spans="2:16" ht="16.5" customHeight="1">
      <c r="B34" s="18" t="s">
        <v>43</v>
      </c>
      <c r="C34" s="80">
        <f>250*4</f>
        <v>1000</v>
      </c>
      <c r="D34" s="19">
        <f>tblCategoriaDespesa_02[[#This Row],[jan]]</f>
        <v>1000</v>
      </c>
      <c r="E34" s="19">
        <f>tblCategoriaDespesa_02[[#This Row],[feb]]</f>
        <v>1000</v>
      </c>
      <c r="F34" s="19">
        <f>tblCategoriaDespesa_02[[#This Row],[mar]]</f>
        <v>1000</v>
      </c>
      <c r="G34" s="19">
        <f>tblCategoriaDespesa_02[[#This Row],[apr]]</f>
        <v>1000</v>
      </c>
      <c r="H34" s="19">
        <f>tblCategoriaDespesa_02[[#This Row],[may]]</f>
        <v>1000</v>
      </c>
      <c r="I34" s="19">
        <f>tblCategoriaDespesa_02[[#This Row],[jun]]</f>
        <v>1000</v>
      </c>
      <c r="J34" s="19">
        <f>tblCategoriaDespesa_02[[#This Row],[jul]]</f>
        <v>1000</v>
      </c>
      <c r="K34" s="19">
        <f>tblCategoriaDespesa_02[[#This Row],[aug]]</f>
        <v>1000</v>
      </c>
      <c r="L34" s="19">
        <f>tblCategoriaDespesa_02[[#This Row],[sep]]</f>
        <v>1000</v>
      </c>
      <c r="M34" s="19">
        <f>tblCategoriaDespesa_02[[#This Row],[oct]]</f>
        <v>1000</v>
      </c>
      <c r="N34" s="19">
        <f>tblCategoriaDespesa_02[[#This Row],[nov]]</f>
        <v>1000</v>
      </c>
      <c r="O34" s="22">
        <f>SUM(tblCategoriaDespesa_02[[#This Row],[jan]:[dec]])</f>
        <v>12000</v>
      </c>
      <c r="P34" s="22">
        <f>tblCategoriaDespesa_02[[#This Row],[year]]/12</f>
        <v>1000</v>
      </c>
    </row>
    <row r="35" spans="2:16" ht="16.5" customHeight="1">
      <c r="B35" s="18" t="s">
        <v>45</v>
      </c>
      <c r="C35" s="19"/>
      <c r="D35" s="19"/>
      <c r="E35" s="19"/>
      <c r="F35" s="19"/>
      <c r="G35" s="19"/>
      <c r="H35" s="19"/>
      <c r="I35" s="19"/>
      <c r="J35" s="19"/>
      <c r="K35" s="19"/>
      <c r="L35" s="19"/>
      <c r="M35" s="19"/>
      <c r="N35" s="19"/>
      <c r="O35" s="22">
        <f>SUM(tblCategoriaDespesa_02[[#This Row],[jan]:[dec]])</f>
        <v>0</v>
      </c>
      <c r="P35" s="22">
        <f>tblCategoriaDespesa_02[[#This Row],[year]]/12</f>
        <v>0</v>
      </c>
    </row>
    <row r="36" spans="2:16" ht="16.5" customHeight="1">
      <c r="B36" s="18" t="s">
        <v>47</v>
      </c>
      <c r="C36" s="19"/>
      <c r="D36" s="19"/>
      <c r="E36" s="19"/>
      <c r="F36" s="19"/>
      <c r="G36" s="19"/>
      <c r="H36" s="19"/>
      <c r="I36" s="19"/>
      <c r="J36" s="19"/>
      <c r="K36" s="19"/>
      <c r="L36" s="19"/>
      <c r="M36" s="19"/>
      <c r="N36" s="19"/>
      <c r="O36" s="22">
        <f>SUM(tblCategoriaDespesa_02[[#This Row],[jan]:[dec]])</f>
        <v>0</v>
      </c>
      <c r="P36" s="22">
        <f>tblCategoriaDespesa_02[[#This Row],[year]]/12</f>
        <v>0</v>
      </c>
    </row>
    <row r="37" spans="2:16" ht="16.5" customHeight="1">
      <c r="B37" s="18" t="s">
        <v>49</v>
      </c>
      <c r="C37" s="19"/>
      <c r="D37" s="19"/>
      <c r="E37" s="19"/>
      <c r="F37" s="19"/>
      <c r="G37" s="19"/>
      <c r="H37" s="19"/>
      <c r="I37" s="19"/>
      <c r="J37" s="19"/>
      <c r="K37" s="19"/>
      <c r="L37" s="19"/>
      <c r="M37" s="19"/>
      <c r="N37" s="19"/>
      <c r="O37" s="22">
        <f>SUM(tblCategoriaDespesa_02[[#This Row],[jan]:[dec]])</f>
        <v>0</v>
      </c>
      <c r="P37" s="22">
        <f>tblCategoriaDespesa_02[[#This Row],[year]]/12</f>
        <v>0</v>
      </c>
    </row>
    <row r="38" spans="2:16" ht="16.5" customHeight="1">
      <c r="B38" s="18" t="s">
        <v>15</v>
      </c>
      <c r="C38" s="19"/>
      <c r="D38" s="19"/>
      <c r="E38" s="19"/>
      <c r="F38" s="19"/>
      <c r="G38" s="19"/>
      <c r="H38" s="19"/>
      <c r="I38" s="19"/>
      <c r="J38" s="19"/>
      <c r="K38" s="19"/>
      <c r="L38" s="19"/>
      <c r="M38" s="19"/>
      <c r="N38" s="19"/>
      <c r="O38" s="22">
        <f>SUM(tblCategoriaDespesa_02[[#This Row],[jan]:[dec]])</f>
        <v>0</v>
      </c>
      <c r="P38" s="22">
        <f>tblCategoriaDespesa_02[[#This Row],[year]]/12</f>
        <v>0</v>
      </c>
    </row>
    <row r="39" spans="2:16" ht="16.5" customHeight="1">
      <c r="B39" s="64" t="str">
        <f>UPPER("Total " &amp; B33)</f>
        <v>TOTAL DESPESAS GERAIS</v>
      </c>
      <c r="C39" s="62">
        <f>SUM(tblCategoriaDespesa_02[jan])</f>
        <v>1000</v>
      </c>
      <c r="D39" s="62">
        <f>SUM(tblCategoriaDespesa_02[feb])</f>
        <v>1000</v>
      </c>
      <c r="E39" s="62">
        <f>SUM(tblCategoriaDespesa_02[mar])</f>
        <v>1000</v>
      </c>
      <c r="F39" s="62">
        <f>SUM(tblCategoriaDespesa_02[apr])</f>
        <v>1000</v>
      </c>
      <c r="G39" s="62">
        <f>SUM(tblCategoriaDespesa_02[may])</f>
        <v>1000</v>
      </c>
      <c r="H39" s="62">
        <f>SUM(tblCategoriaDespesa_02[jun])</f>
        <v>1000</v>
      </c>
      <c r="I39" s="62">
        <f>SUM(tblCategoriaDespesa_02[jul])</f>
        <v>1000</v>
      </c>
      <c r="J39" s="62">
        <f>SUM(tblCategoriaDespesa_02[aug])</f>
        <v>1000</v>
      </c>
      <c r="K39" s="62">
        <f>SUM(tblCategoriaDespesa_02[sep])</f>
        <v>1000</v>
      </c>
      <c r="L39" s="62">
        <f>SUM(tblCategoriaDespesa_02[oct])</f>
        <v>1000</v>
      </c>
      <c r="M39" s="62">
        <f>SUM(tblCategoriaDespesa_02[nov])</f>
        <v>1000</v>
      </c>
      <c r="N39" s="62">
        <f>SUM(tblCategoriaDespesa_02[dec])</f>
        <v>1000</v>
      </c>
      <c r="O39" s="63">
        <f>SUM(tblCategoriaDespesa_02[year])</f>
        <v>12000</v>
      </c>
      <c r="P39" s="63">
        <f>tblCategoriaDespesa_02[[#Totals],[year]]/12</f>
        <v>1000</v>
      </c>
    </row>
    <row r="40" spans="2:16" ht="16.5" customHeight="1">
      <c r="B40" s="72"/>
      <c r="C40" s="72"/>
      <c r="D40" s="72"/>
      <c r="E40" s="72"/>
      <c r="F40" s="72"/>
      <c r="G40" s="72"/>
      <c r="H40" s="72"/>
      <c r="I40" s="72"/>
      <c r="J40" s="72"/>
      <c r="K40" s="72"/>
      <c r="L40" s="72"/>
      <c r="M40" s="72"/>
      <c r="N40" s="72"/>
      <c r="O40" s="23"/>
      <c r="P40" s="23"/>
    </row>
    <row r="41" spans="2:16" ht="16.5" customHeight="1" thickBot="1">
      <c r="B41" s="8"/>
      <c r="C41" s="9"/>
      <c r="D41" s="9"/>
      <c r="E41" s="9"/>
      <c r="F41" s="9"/>
      <c r="G41" s="9"/>
      <c r="H41" s="9"/>
      <c r="I41" s="9"/>
      <c r="J41" s="9"/>
      <c r="K41" s="9"/>
      <c r="L41" s="9"/>
      <c r="M41" s="9"/>
      <c r="N41" s="9"/>
      <c r="O41" s="23"/>
      <c r="P41" s="23"/>
    </row>
    <row r="42" spans="2:16" ht="16.5" customHeight="1" thickTop="1">
      <c r="B42" s="13" t="s">
        <v>19</v>
      </c>
      <c r="C42" s="10"/>
      <c r="D42" s="10"/>
      <c r="E42" s="10"/>
      <c r="F42" s="10"/>
      <c r="G42" s="10"/>
      <c r="H42" s="10"/>
      <c r="I42" s="10"/>
      <c r="J42" s="10"/>
      <c r="K42" s="10"/>
      <c r="L42" s="10"/>
      <c r="M42" s="10"/>
      <c r="N42" s="10"/>
      <c r="O42" s="24"/>
      <c r="P42" s="24"/>
    </row>
    <row r="43" spans="2:16" ht="16.5" customHeight="1">
      <c r="B43" s="18" t="s">
        <v>221</v>
      </c>
      <c r="C43" s="19">
        <f t="shared" ref="C43" si="3">100+80</f>
        <v>180</v>
      </c>
      <c r="D43" s="19">
        <f>tblCategoriaDespesa_03[[#This Row],[jan]]</f>
        <v>180</v>
      </c>
      <c r="E43" s="19">
        <f>tblCategoriaDespesa_03[[#This Row],[jan]]</f>
        <v>180</v>
      </c>
      <c r="F43" s="19">
        <f>tblCategoriaDespesa_03[[#This Row],[jan]]</f>
        <v>180</v>
      </c>
      <c r="G43" s="19">
        <f>tblCategoriaDespesa_03[[#This Row],[jan]]</f>
        <v>180</v>
      </c>
      <c r="H43" s="19">
        <f>tblCategoriaDespesa_03[[#This Row],[jan]]</f>
        <v>180</v>
      </c>
      <c r="I43" s="19">
        <f>tblCategoriaDespesa_03[[#This Row],[jan]]</f>
        <v>180</v>
      </c>
      <c r="J43" s="19">
        <f>tblCategoriaDespesa_03[[#This Row],[jan]]</f>
        <v>180</v>
      </c>
      <c r="K43" s="19">
        <f>tblCategoriaDespesa_03[[#This Row],[jan]]</f>
        <v>180</v>
      </c>
      <c r="L43" s="19">
        <f>tblCategoriaDespesa_03[[#This Row],[jan]]</f>
        <v>180</v>
      </c>
      <c r="M43" s="19">
        <f>tblCategoriaDespesa_03[[#This Row],[jan]]</f>
        <v>180</v>
      </c>
      <c r="N43" s="19">
        <f>tblCategoriaDespesa_03[[#This Row],[jan]]</f>
        <v>180</v>
      </c>
      <c r="O43" s="22">
        <f>SUM(tblCategoriaDespesa_03[[#This Row],[jan]:[dec]])</f>
        <v>2160</v>
      </c>
      <c r="P43" s="22">
        <f>tblCategoriaDespesa_03[[#This Row],[year]]/12</f>
        <v>180</v>
      </c>
    </row>
    <row r="44" spans="2:16" ht="16.5" customHeight="1">
      <c r="B44" s="18" t="s">
        <v>45</v>
      </c>
      <c r="C44" s="19"/>
      <c r="D44" s="19"/>
      <c r="E44" s="19"/>
      <c r="F44" s="19"/>
      <c r="G44" s="19"/>
      <c r="H44" s="19"/>
      <c r="I44" s="19"/>
      <c r="J44" s="19"/>
      <c r="K44" s="19"/>
      <c r="L44" s="19"/>
      <c r="M44" s="19"/>
      <c r="N44" s="19"/>
      <c r="O44" s="22">
        <f>SUM(tblCategoriaDespesa_03[[#This Row],[jan]:[dec]])</f>
        <v>0</v>
      </c>
      <c r="P44" s="22">
        <f>tblCategoriaDespesa_03[[#This Row],[year]]/12</f>
        <v>0</v>
      </c>
    </row>
    <row r="45" spans="2:16" ht="16.5" customHeight="1">
      <c r="B45" s="18" t="s">
        <v>52</v>
      </c>
      <c r="C45" s="19">
        <f>8*2*20</f>
        <v>320</v>
      </c>
      <c r="D45" s="19">
        <f>tblCategoriaDespesa_03[[#This Row],[jan]]</f>
        <v>320</v>
      </c>
      <c r="E45" s="19">
        <f>tblCategoriaDespesa_03[[#This Row],[jan]]</f>
        <v>320</v>
      </c>
      <c r="F45" s="19">
        <f>tblCategoriaDespesa_03[[#This Row],[jan]]</f>
        <v>320</v>
      </c>
      <c r="G45" s="19">
        <f>tblCategoriaDespesa_03[[#This Row],[jan]]</f>
        <v>320</v>
      </c>
      <c r="H45" s="19">
        <f>tblCategoriaDespesa_03[[#This Row],[jan]]</f>
        <v>320</v>
      </c>
      <c r="I45" s="19">
        <f>tblCategoriaDespesa_03[[#This Row],[jan]]</f>
        <v>320</v>
      </c>
      <c r="J45" s="19">
        <f>tblCategoriaDespesa_03[[#This Row],[jan]]</f>
        <v>320</v>
      </c>
      <c r="K45" s="19">
        <f>tblCategoriaDespesa_03[[#This Row],[jan]]</f>
        <v>320</v>
      </c>
      <c r="L45" s="19">
        <f>tblCategoriaDespesa_03[[#This Row],[jan]]</f>
        <v>320</v>
      </c>
      <c r="M45" s="19">
        <f>tblCategoriaDespesa_03[[#This Row],[jan]]</f>
        <v>320</v>
      </c>
      <c r="N45" s="19">
        <f>tblCategoriaDespesa_03[[#This Row],[jan]]</f>
        <v>320</v>
      </c>
      <c r="O45" s="22">
        <f>SUM(tblCategoriaDespesa_03[[#This Row],[jan]:[dec]])</f>
        <v>3840</v>
      </c>
      <c r="P45" s="22">
        <f>tblCategoriaDespesa_03[[#This Row],[year]]/12</f>
        <v>320</v>
      </c>
    </row>
    <row r="46" spans="2:16" ht="16.5" customHeight="1">
      <c r="B46" s="18" t="s">
        <v>97</v>
      </c>
      <c r="C46" s="19"/>
      <c r="D46" s="19"/>
      <c r="E46" s="19"/>
      <c r="F46" s="19"/>
      <c r="G46" s="19"/>
      <c r="H46" s="19"/>
      <c r="I46" s="19"/>
      <c r="J46" s="19"/>
      <c r="K46" s="19"/>
      <c r="L46" s="19"/>
      <c r="M46" s="19"/>
      <c r="N46" s="19"/>
      <c r="O46" s="22">
        <f>SUM(tblCategoriaDespesa_03[[#This Row],[jan]:[dec]])</f>
        <v>0</v>
      </c>
      <c r="P46" s="22">
        <f>tblCategoriaDespesa_03[[#This Row],[year]]/12</f>
        <v>0</v>
      </c>
    </row>
    <row r="47" spans="2:16" s="2" customFormat="1" ht="16.5" customHeight="1">
      <c r="B47" s="18" t="s">
        <v>230</v>
      </c>
      <c r="C47" s="19"/>
      <c r="D47" s="19"/>
      <c r="E47" s="19"/>
      <c r="F47" s="19"/>
      <c r="G47" s="19"/>
      <c r="H47" s="19"/>
      <c r="I47" s="19"/>
      <c r="J47" s="19"/>
      <c r="K47" s="19"/>
      <c r="L47" s="19"/>
      <c r="M47" s="19"/>
      <c r="N47" s="19"/>
      <c r="O47" s="22">
        <f>SUM(tblCategoriaDespesa_03[[#This Row],[jan]:[dec]])</f>
        <v>0</v>
      </c>
      <c r="P47" s="22">
        <f>tblCategoriaDespesa_03[[#This Row],[year]]/12</f>
        <v>0</v>
      </c>
    </row>
    <row r="48" spans="2:16" ht="16.5" customHeight="1">
      <c r="B48" s="18" t="s">
        <v>15</v>
      </c>
      <c r="C48" s="19"/>
      <c r="D48" s="19"/>
      <c r="E48" s="19"/>
      <c r="F48" s="19"/>
      <c r="G48" s="19"/>
      <c r="H48" s="19"/>
      <c r="I48" s="19"/>
      <c r="J48" s="19"/>
      <c r="K48" s="19"/>
      <c r="L48" s="19"/>
      <c r="M48" s="19"/>
      <c r="N48" s="19"/>
      <c r="O48" s="22">
        <f>SUM(tblCategoriaDespesa_03[[#This Row],[jan]:[dec]])</f>
        <v>0</v>
      </c>
      <c r="P48" s="22">
        <f>tblCategoriaDespesa_03[[#This Row],[year]]/12</f>
        <v>0</v>
      </c>
    </row>
    <row r="49" spans="2:16" ht="16.5" customHeight="1">
      <c r="B49" s="64" t="str">
        <f>UPPER("Total " &amp; B42)</f>
        <v>TOTAL FILHOS</v>
      </c>
      <c r="C49" s="62">
        <f>SUM(tblCategoriaDespesa_03[jan])</f>
        <v>500</v>
      </c>
      <c r="D49" s="62">
        <f>SUM(tblCategoriaDespesa_03[feb])</f>
        <v>500</v>
      </c>
      <c r="E49" s="62">
        <f>SUM(tblCategoriaDespesa_03[mar])</f>
        <v>500</v>
      </c>
      <c r="F49" s="62">
        <f>SUM(tblCategoriaDespesa_03[apr])</f>
        <v>500</v>
      </c>
      <c r="G49" s="62">
        <f>SUM(tblCategoriaDespesa_03[may])</f>
        <v>500</v>
      </c>
      <c r="H49" s="62">
        <f>SUM(tblCategoriaDespesa_03[jun])</f>
        <v>500</v>
      </c>
      <c r="I49" s="62">
        <f>SUM(tblCategoriaDespesa_03[jul])</f>
        <v>500</v>
      </c>
      <c r="J49" s="62">
        <f>SUM(tblCategoriaDespesa_03[aug])</f>
        <v>500</v>
      </c>
      <c r="K49" s="62">
        <f>SUM(tblCategoriaDespesa_03[sep])</f>
        <v>500</v>
      </c>
      <c r="L49" s="62">
        <f>SUM(tblCategoriaDespesa_03[oct])</f>
        <v>500</v>
      </c>
      <c r="M49" s="62">
        <f>SUM(tblCategoriaDespesa_03[nov])</f>
        <v>500</v>
      </c>
      <c r="N49" s="62">
        <f>SUM(tblCategoriaDespesa_03[dec])</f>
        <v>500</v>
      </c>
      <c r="O49" s="63">
        <f>SUM(tblCategoriaDespesa_03[year])</f>
        <v>6000</v>
      </c>
      <c r="P49" s="63">
        <f>tblCategoriaDespesa_03[[#Totals],[year]]/12</f>
        <v>500</v>
      </c>
    </row>
    <row r="50" spans="2:16" ht="16.5" customHeight="1">
      <c r="B50" s="72"/>
      <c r="C50" s="72"/>
      <c r="D50" s="72"/>
      <c r="E50" s="72"/>
      <c r="F50" s="72"/>
      <c r="G50" s="72"/>
      <c r="H50" s="72"/>
      <c r="I50" s="72"/>
      <c r="J50" s="72"/>
      <c r="K50" s="72"/>
      <c r="L50" s="72"/>
      <c r="M50" s="72"/>
      <c r="N50" s="72"/>
      <c r="O50" s="25"/>
      <c r="P50" s="25"/>
    </row>
    <row r="51" spans="2:16" ht="16.5" customHeight="1" thickBot="1">
      <c r="B51" s="8"/>
      <c r="C51" s="11"/>
      <c r="D51" s="11"/>
      <c r="E51" s="11"/>
      <c r="F51" s="11"/>
      <c r="G51" s="11"/>
      <c r="H51" s="11"/>
      <c r="I51" s="11"/>
      <c r="J51" s="11"/>
      <c r="K51" s="11"/>
      <c r="L51" s="11"/>
      <c r="M51" s="11"/>
      <c r="N51" s="11"/>
      <c r="O51" s="25"/>
      <c r="P51" s="25"/>
    </row>
    <row r="52" spans="2:16" ht="16.5" customHeight="1" thickTop="1">
      <c r="B52" s="13" t="s">
        <v>20</v>
      </c>
      <c r="C52" s="12"/>
      <c r="D52" s="12"/>
      <c r="E52" s="12"/>
      <c r="F52" s="12"/>
      <c r="G52" s="12"/>
      <c r="H52" s="12"/>
      <c r="I52" s="12"/>
      <c r="J52" s="12"/>
      <c r="K52" s="12"/>
      <c r="L52" s="12"/>
      <c r="M52" s="12"/>
      <c r="N52" s="12"/>
      <c r="O52" s="26"/>
      <c r="P52" s="26"/>
    </row>
    <row r="53" spans="2:16" ht="16.5" customHeight="1">
      <c r="B53" s="18" t="s">
        <v>222</v>
      </c>
      <c r="C53" s="19"/>
      <c r="D53" s="19"/>
      <c r="E53" s="19"/>
      <c r="F53" s="19"/>
      <c r="G53" s="19"/>
      <c r="H53" s="19"/>
      <c r="I53" s="19"/>
      <c r="J53" s="19"/>
      <c r="K53" s="19"/>
      <c r="L53" s="19"/>
      <c r="M53" s="19"/>
      <c r="N53" s="19"/>
      <c r="O53" s="22">
        <f>SUM(tblCategoriaDespesa_04[[#This Row],[jan]:[dec]])</f>
        <v>0</v>
      </c>
      <c r="P53" s="22">
        <f>tblCategoriaDespesa_04[[#This Row],[year]]/12</f>
        <v>0</v>
      </c>
    </row>
    <row r="54" spans="2:16" ht="16.5" customHeight="1">
      <c r="B54" s="18" t="s">
        <v>57</v>
      </c>
      <c r="C54" s="19">
        <f t="shared" ref="C54" si="4">1.95*35</f>
        <v>68.25</v>
      </c>
      <c r="D54" s="19">
        <f>tblCategoriaDespesa_04[[#This Row],[jan]]</f>
        <v>68.25</v>
      </c>
      <c r="E54" s="19">
        <f>tblCategoriaDespesa_04[[#This Row],[jan]]</f>
        <v>68.25</v>
      </c>
      <c r="F54" s="19">
        <f>tblCategoriaDespesa_04[[#This Row],[jan]]</f>
        <v>68.25</v>
      </c>
      <c r="G54" s="19">
        <f>tblCategoriaDespesa_04[[#This Row],[jan]]</f>
        <v>68.25</v>
      </c>
      <c r="H54" s="19">
        <f>tblCategoriaDespesa_04[[#This Row],[jan]]</f>
        <v>68.25</v>
      </c>
      <c r="I54" s="19">
        <f>tblCategoriaDespesa_04[[#This Row],[jan]]</f>
        <v>68.25</v>
      </c>
      <c r="J54" s="19">
        <f>tblCategoriaDespesa_04[[#This Row],[jan]]</f>
        <v>68.25</v>
      </c>
      <c r="K54" s="19">
        <f>tblCategoriaDespesa_04[[#This Row],[jan]]</f>
        <v>68.25</v>
      </c>
      <c r="L54" s="19">
        <f>tblCategoriaDespesa_04[[#This Row],[jan]]</f>
        <v>68.25</v>
      </c>
      <c r="M54" s="19">
        <f>tblCategoriaDespesa_04[[#This Row],[jan]]</f>
        <v>68.25</v>
      </c>
      <c r="N54" s="19">
        <f>tblCategoriaDespesa_04[[#This Row],[jan]]</f>
        <v>68.25</v>
      </c>
      <c r="O54" s="22">
        <f>SUM(tblCategoriaDespesa_04[[#This Row],[jan]:[dec]])</f>
        <v>819</v>
      </c>
      <c r="P54" s="22">
        <f>tblCategoriaDespesa_04[[#This Row],[year]]/12</f>
        <v>68.25</v>
      </c>
    </row>
    <row r="55" spans="2:16" ht="16.5" customHeight="1">
      <c r="B55" s="18" t="s">
        <v>224</v>
      </c>
      <c r="C55" s="19"/>
      <c r="D55" s="19"/>
      <c r="E55" s="19"/>
      <c r="F55" s="19"/>
      <c r="G55" s="19"/>
      <c r="H55" s="19"/>
      <c r="I55" s="19"/>
      <c r="J55" s="19"/>
      <c r="K55" s="19"/>
      <c r="L55" s="19"/>
      <c r="M55" s="19"/>
      <c r="N55" s="19"/>
      <c r="O55" s="22">
        <f>SUM(tblCategoriaDespesa_04[[#This Row],[jan]:[dec]])</f>
        <v>0</v>
      </c>
      <c r="P55" s="22">
        <f>tblCategoriaDespesa_04[[#This Row],[year]]/12</f>
        <v>0</v>
      </c>
    </row>
    <row r="56" spans="2:16" ht="16.5" customHeight="1">
      <c r="B56" s="18" t="s">
        <v>223</v>
      </c>
      <c r="C56" s="19"/>
      <c r="D56" s="19"/>
      <c r="E56" s="19"/>
      <c r="F56" s="19"/>
      <c r="G56" s="19"/>
      <c r="H56" s="19"/>
      <c r="I56" s="19"/>
      <c r="J56" s="19"/>
      <c r="K56" s="19"/>
      <c r="L56" s="19"/>
      <c r="M56" s="19"/>
      <c r="N56" s="19"/>
      <c r="O56" s="22">
        <f>SUM(tblCategoriaDespesa_04[[#This Row],[jan]:[dec]])</f>
        <v>0</v>
      </c>
      <c r="P56" s="22">
        <f>tblCategoriaDespesa_04[[#This Row],[year]]/12</f>
        <v>0</v>
      </c>
    </row>
    <row r="57" spans="2:16" ht="16.5" customHeight="1">
      <c r="B57" s="18" t="s">
        <v>58</v>
      </c>
      <c r="C57" s="19"/>
      <c r="D57" s="19"/>
      <c r="E57" s="19"/>
      <c r="F57" s="19"/>
      <c r="G57" s="19"/>
      <c r="H57" s="19"/>
      <c r="I57" s="19"/>
      <c r="J57" s="19"/>
      <c r="K57" s="19"/>
      <c r="L57" s="19"/>
      <c r="M57" s="19"/>
      <c r="N57" s="19"/>
      <c r="O57" s="22">
        <f>SUM(tblCategoriaDespesa_04[[#This Row],[jan]:[dec]])</f>
        <v>0</v>
      </c>
      <c r="P57" s="22">
        <f>tblCategoriaDespesa_04[[#This Row],[year]]/12</f>
        <v>0</v>
      </c>
    </row>
    <row r="58" spans="2:16" ht="16.5" customHeight="1">
      <c r="B58" s="64" t="str">
        <f>UPPER("Total " &amp; B52)</f>
        <v>TOTAL TRANSPORTE</v>
      </c>
      <c r="C58" s="62">
        <f>SUM(tblCategoriaDespesa_04[jan])</f>
        <v>68.25</v>
      </c>
      <c r="D58" s="62">
        <f>SUM(tblCategoriaDespesa_04[feb])</f>
        <v>68.25</v>
      </c>
      <c r="E58" s="62">
        <f>SUM(tblCategoriaDespesa_04[mar])</f>
        <v>68.25</v>
      </c>
      <c r="F58" s="62">
        <f>SUM(tblCategoriaDespesa_04[apr])</f>
        <v>68.25</v>
      </c>
      <c r="G58" s="62">
        <f>SUM(tblCategoriaDespesa_04[may])</f>
        <v>68.25</v>
      </c>
      <c r="H58" s="62">
        <f>SUM(tblCategoriaDespesa_04[jun])</f>
        <v>68.25</v>
      </c>
      <c r="I58" s="62">
        <f>SUM(tblCategoriaDespesa_04[jul])</f>
        <v>68.25</v>
      </c>
      <c r="J58" s="62">
        <f>SUM(tblCategoriaDespesa_04[aug])</f>
        <v>68.25</v>
      </c>
      <c r="K58" s="62">
        <f>SUM(tblCategoriaDespesa_04[sep])</f>
        <v>68.25</v>
      </c>
      <c r="L58" s="62">
        <f>SUM(tblCategoriaDespesa_04[oct])</f>
        <v>68.25</v>
      </c>
      <c r="M58" s="62">
        <f>SUM(tblCategoriaDespesa_04[nov])</f>
        <v>68.25</v>
      </c>
      <c r="N58" s="62">
        <f>SUM(tblCategoriaDespesa_04[dec])</f>
        <v>68.25</v>
      </c>
      <c r="O58" s="63">
        <f>SUM(tblCategoriaDespesa_04[year])</f>
        <v>819</v>
      </c>
      <c r="P58" s="63">
        <f>tblCategoriaDespesa_04[[#Totals],[year]]/12</f>
        <v>68.25</v>
      </c>
    </row>
    <row r="59" spans="2:16" ht="16.5" customHeight="1">
      <c r="B59" s="72"/>
      <c r="C59" s="72"/>
      <c r="D59" s="72"/>
      <c r="E59" s="72"/>
      <c r="F59" s="72"/>
      <c r="G59" s="72"/>
      <c r="H59" s="72"/>
      <c r="I59" s="72"/>
      <c r="J59" s="72"/>
      <c r="K59" s="72"/>
      <c r="L59" s="72"/>
      <c r="M59" s="72"/>
      <c r="N59" s="72"/>
      <c r="O59" s="25"/>
      <c r="P59" s="25"/>
    </row>
    <row r="60" spans="2:16" ht="16.5" customHeight="1" thickBot="1">
      <c r="B60" s="8"/>
      <c r="C60" s="11"/>
      <c r="D60" s="11"/>
      <c r="E60" s="11"/>
      <c r="F60" s="11"/>
      <c r="G60" s="11"/>
      <c r="H60" s="11"/>
      <c r="I60" s="11"/>
      <c r="J60" s="11"/>
      <c r="K60" s="11"/>
      <c r="L60" s="11"/>
      <c r="M60" s="11"/>
      <c r="N60" s="11"/>
      <c r="O60" s="25"/>
      <c r="P60" s="25"/>
    </row>
    <row r="61" spans="2:16" ht="16.5" customHeight="1" thickTop="1">
      <c r="B61" s="13" t="s">
        <v>21</v>
      </c>
      <c r="C61" s="12"/>
      <c r="D61" s="12"/>
      <c r="E61" s="12"/>
      <c r="F61" s="12"/>
      <c r="G61" s="12"/>
      <c r="H61" s="12"/>
      <c r="I61" s="12"/>
      <c r="J61" s="12"/>
      <c r="K61" s="12"/>
      <c r="L61" s="12"/>
      <c r="M61" s="12"/>
      <c r="N61" s="12"/>
      <c r="O61" s="26"/>
      <c r="P61" s="26"/>
    </row>
    <row r="62" spans="2:16" ht="16.5" customHeight="1">
      <c r="B62" s="18" t="s">
        <v>61</v>
      </c>
      <c r="C62" s="19"/>
      <c r="D62" s="19"/>
      <c r="E62" s="19"/>
      <c r="F62" s="19"/>
      <c r="G62" s="19"/>
      <c r="H62" s="19"/>
      <c r="I62" s="19"/>
      <c r="J62" s="19"/>
      <c r="K62" s="19"/>
      <c r="L62" s="19"/>
      <c r="M62" s="19"/>
      <c r="N62" s="19"/>
      <c r="O62" s="22">
        <f>SUM(tblCategoriaDespesa_05[[#This Row],[jan]:[dec]])</f>
        <v>0</v>
      </c>
      <c r="P62" s="22">
        <f>tblCategoriaDespesa_05[[#This Row],[year]]/12</f>
        <v>0</v>
      </c>
    </row>
    <row r="63" spans="2:16" ht="16.5" customHeight="1">
      <c r="B63" s="18" t="s">
        <v>62</v>
      </c>
      <c r="C63" s="19"/>
      <c r="D63" s="19"/>
      <c r="E63" s="19"/>
      <c r="F63" s="19"/>
      <c r="G63" s="19"/>
      <c r="H63" s="19"/>
      <c r="I63" s="19"/>
      <c r="J63" s="19"/>
      <c r="K63" s="19"/>
      <c r="L63" s="19"/>
      <c r="M63" s="19"/>
      <c r="N63" s="19"/>
      <c r="O63" s="22">
        <f>SUM(tblCategoriaDespesa_05[[#This Row],[jan]:[dec]])</f>
        <v>0</v>
      </c>
      <c r="P63" s="22">
        <f>tblCategoriaDespesa_05[[#This Row],[year]]/12</f>
        <v>0</v>
      </c>
    </row>
    <row r="64" spans="2:16" s="2" customFormat="1" ht="16.5" customHeight="1">
      <c r="B64" s="18" t="s">
        <v>225</v>
      </c>
      <c r="C64" s="19"/>
      <c r="D64" s="19"/>
      <c r="E64" s="19"/>
      <c r="F64" s="19"/>
      <c r="G64" s="19"/>
      <c r="H64" s="19"/>
      <c r="I64" s="19"/>
      <c r="J64" s="19"/>
      <c r="K64" s="19"/>
      <c r="L64" s="19"/>
      <c r="M64" s="19"/>
      <c r="N64" s="19"/>
      <c r="O64" s="22">
        <f>SUM(tblCategoriaDespesa_05[[#This Row],[jan]:[dec]])</f>
        <v>0</v>
      </c>
      <c r="P64" s="22">
        <f>tblCategoriaDespesa_05[[#This Row],[year]]/12</f>
        <v>0</v>
      </c>
    </row>
    <row r="65" spans="2:16" ht="16.5" customHeight="1">
      <c r="B65" s="18" t="s">
        <v>15</v>
      </c>
      <c r="C65" s="19"/>
      <c r="D65" s="19"/>
      <c r="E65" s="19"/>
      <c r="F65" s="19"/>
      <c r="G65" s="19"/>
      <c r="H65" s="19"/>
      <c r="I65" s="19"/>
      <c r="J65" s="19"/>
      <c r="K65" s="19"/>
      <c r="L65" s="19"/>
      <c r="M65" s="19"/>
      <c r="N65" s="19"/>
      <c r="O65" s="22">
        <f>SUM(tblCategoriaDespesa_05[[#This Row],[jan]:[dec]])</f>
        <v>0</v>
      </c>
      <c r="P65" s="22">
        <f>tblCategoriaDespesa_05[[#This Row],[year]]/12</f>
        <v>0</v>
      </c>
    </row>
    <row r="66" spans="2:16" ht="16.5" customHeight="1">
      <c r="B66" s="64" t="str">
        <f>UPPER("Total " &amp; B61)</f>
        <v>TOTAL SAÚDE</v>
      </c>
      <c r="C66" s="62">
        <f>SUM(tblCategoriaDespesa_05[jan])</f>
        <v>0</v>
      </c>
      <c r="D66" s="62">
        <f>SUM(tblCategoriaDespesa_05[feb])</f>
        <v>0</v>
      </c>
      <c r="E66" s="62">
        <f>SUM(tblCategoriaDespesa_05[mar])</f>
        <v>0</v>
      </c>
      <c r="F66" s="62">
        <f>SUM(tblCategoriaDespesa_05[apr])</f>
        <v>0</v>
      </c>
      <c r="G66" s="62">
        <f>SUM(tblCategoriaDespesa_05[may])</f>
        <v>0</v>
      </c>
      <c r="H66" s="62">
        <f>SUM(tblCategoriaDespesa_05[jun])</f>
        <v>0</v>
      </c>
      <c r="I66" s="62">
        <f>SUM(tblCategoriaDespesa_05[jul])</f>
        <v>0</v>
      </c>
      <c r="J66" s="62">
        <f>SUM(tblCategoriaDespesa_05[aug])</f>
        <v>0</v>
      </c>
      <c r="K66" s="62">
        <f>SUM(tblCategoriaDespesa_05[sep])</f>
        <v>0</v>
      </c>
      <c r="L66" s="62">
        <f>SUM(tblCategoriaDespesa_05[oct])</f>
        <v>0</v>
      </c>
      <c r="M66" s="62">
        <f>SUM(tblCategoriaDespesa_05[nov])</f>
        <v>0</v>
      </c>
      <c r="N66" s="62">
        <f>SUM(tblCategoriaDespesa_05[dec])</f>
        <v>0</v>
      </c>
      <c r="O66" s="63">
        <f>SUM(tblCategoriaDespesa_05[year])</f>
        <v>0</v>
      </c>
      <c r="P66" s="63">
        <f>tblCategoriaDespesa_05[[#Totals],[year]]/12</f>
        <v>0</v>
      </c>
    </row>
    <row r="67" spans="2:16" ht="16.5" customHeight="1">
      <c r="B67" s="72"/>
      <c r="C67" s="72"/>
      <c r="D67" s="72"/>
      <c r="E67" s="72"/>
      <c r="F67" s="72"/>
      <c r="G67" s="72"/>
      <c r="H67" s="72"/>
      <c r="I67" s="72"/>
      <c r="J67" s="72"/>
      <c r="K67" s="72"/>
      <c r="L67" s="72"/>
      <c r="M67" s="72"/>
      <c r="N67" s="72"/>
      <c r="O67" s="25"/>
      <c r="P67" s="25"/>
    </row>
    <row r="68" spans="2:16" ht="16.5" customHeight="1" thickBot="1">
      <c r="B68" s="8"/>
      <c r="C68" s="11"/>
      <c r="D68" s="11"/>
      <c r="E68" s="11"/>
      <c r="F68" s="11"/>
      <c r="G68" s="11"/>
      <c r="H68" s="11"/>
      <c r="I68" s="11"/>
      <c r="J68" s="11"/>
      <c r="K68" s="11"/>
      <c r="L68" s="11"/>
      <c r="M68" s="11"/>
      <c r="N68" s="11"/>
      <c r="O68" s="25"/>
      <c r="P68" s="25"/>
    </row>
    <row r="69" spans="2:16" ht="16.5" customHeight="1" thickTop="1">
      <c r="B69" s="13" t="s">
        <v>22</v>
      </c>
      <c r="C69" s="12"/>
      <c r="D69" s="12"/>
      <c r="E69" s="12"/>
      <c r="F69" s="12"/>
      <c r="G69" s="12"/>
      <c r="H69" s="12"/>
      <c r="I69" s="12"/>
      <c r="J69" s="12"/>
      <c r="K69" s="12"/>
      <c r="L69" s="12"/>
      <c r="M69" s="12"/>
      <c r="N69" s="12"/>
      <c r="O69" s="26"/>
      <c r="P69" s="26"/>
    </row>
    <row r="70" spans="2:16" ht="16.5" customHeight="1">
      <c r="B70" s="18" t="s">
        <v>65</v>
      </c>
      <c r="C70" s="19"/>
      <c r="D70" s="19"/>
      <c r="E70" s="19"/>
      <c r="F70" s="19"/>
      <c r="G70" s="19"/>
      <c r="H70" s="19"/>
      <c r="I70" s="19"/>
      <c r="J70" s="19"/>
      <c r="K70" s="19"/>
      <c r="L70" s="19"/>
      <c r="M70" s="19"/>
      <c r="N70" s="19"/>
      <c r="O70" s="22">
        <f>SUM(tblCategoriaDespesa_06[[#This Row],[jan]:[dec]])</f>
        <v>0</v>
      </c>
      <c r="P70" s="22">
        <f>tblCategoriaDespesa_06[[#This Row],[year]]/12</f>
        <v>0</v>
      </c>
    </row>
    <row r="71" spans="2:16" ht="16.5" customHeight="1">
      <c r="B71" s="18" t="s">
        <v>226</v>
      </c>
      <c r="C71" s="19"/>
      <c r="D71" s="19"/>
      <c r="E71" s="19"/>
      <c r="F71" s="19"/>
      <c r="G71" s="19"/>
      <c r="H71" s="19"/>
      <c r="I71" s="19"/>
      <c r="J71" s="19"/>
      <c r="K71" s="19"/>
      <c r="L71" s="19"/>
      <c r="M71" s="19"/>
      <c r="N71" s="19"/>
      <c r="O71" s="22">
        <f>SUM(tblCategoriaDespesa_06[[#This Row],[jan]:[dec]])</f>
        <v>0</v>
      </c>
      <c r="P71" s="22">
        <f>tblCategoriaDespesa_06[[#This Row],[year]]/12</f>
        <v>0</v>
      </c>
    </row>
    <row r="72" spans="2:16" ht="16.5" customHeight="1">
      <c r="B72" s="18" t="s">
        <v>227</v>
      </c>
      <c r="C72" s="19"/>
      <c r="D72" s="19"/>
      <c r="E72" s="19"/>
      <c r="F72" s="19"/>
      <c r="G72" s="19"/>
      <c r="H72" s="19"/>
      <c r="I72" s="19"/>
      <c r="J72" s="19"/>
      <c r="K72" s="19"/>
      <c r="L72" s="19"/>
      <c r="M72" s="19"/>
      <c r="N72" s="19"/>
      <c r="O72" s="22">
        <f>SUM(tblCategoriaDespesa_06[[#This Row],[jan]:[dec]])</f>
        <v>0</v>
      </c>
      <c r="P72" s="22">
        <f>tblCategoriaDespesa_06[[#This Row],[year]]/12</f>
        <v>0</v>
      </c>
    </row>
    <row r="73" spans="2:16" ht="16.5" customHeight="1">
      <c r="B73" s="64" t="str">
        <f>UPPER("Total " &amp; B69)</f>
        <v>TOTAL SEGURO</v>
      </c>
      <c r="C73" s="62">
        <f>SUM(tblCategoriaDespesa_06[jan])</f>
        <v>0</v>
      </c>
      <c r="D73" s="62">
        <f>SUM(tblCategoriaDespesa_06[feb])</f>
        <v>0</v>
      </c>
      <c r="E73" s="62">
        <f>SUM(tblCategoriaDespesa_06[mar])</f>
        <v>0</v>
      </c>
      <c r="F73" s="62">
        <f>SUM(tblCategoriaDespesa_06[apr])</f>
        <v>0</v>
      </c>
      <c r="G73" s="62">
        <f>SUM(tblCategoriaDespesa_06[may])</f>
        <v>0</v>
      </c>
      <c r="H73" s="62">
        <f>SUM(tblCategoriaDespesa_06[jun])</f>
        <v>0</v>
      </c>
      <c r="I73" s="62">
        <f>SUM(tblCategoriaDespesa_06[jul])</f>
        <v>0</v>
      </c>
      <c r="J73" s="62">
        <f>SUM(tblCategoriaDespesa_06[aug])</f>
        <v>0</v>
      </c>
      <c r="K73" s="62">
        <f>SUM(tblCategoriaDespesa_06[sep])</f>
        <v>0</v>
      </c>
      <c r="L73" s="62">
        <f>SUM(tblCategoriaDespesa_06[oct])</f>
        <v>0</v>
      </c>
      <c r="M73" s="62">
        <f>SUM(tblCategoriaDespesa_06[nov])</f>
        <v>0</v>
      </c>
      <c r="N73" s="62">
        <f>SUM(tblCategoriaDespesa_06[dec])</f>
        <v>0</v>
      </c>
      <c r="O73" s="63">
        <f>SUM(tblCategoriaDespesa_06[year])</f>
        <v>0</v>
      </c>
      <c r="P73" s="63">
        <f>tblCategoriaDespesa_06[[#Totals],[year]]/12</f>
        <v>0</v>
      </c>
    </row>
    <row r="74" spans="2:16" ht="16.5" customHeight="1">
      <c r="B74" s="72"/>
      <c r="C74" s="72"/>
      <c r="D74" s="72"/>
      <c r="E74" s="72"/>
      <c r="F74" s="72"/>
      <c r="G74" s="72"/>
      <c r="H74" s="72"/>
      <c r="I74" s="72"/>
      <c r="J74" s="72"/>
      <c r="K74" s="72"/>
      <c r="L74" s="72"/>
      <c r="M74" s="72"/>
      <c r="N74" s="72"/>
      <c r="O74" s="25"/>
      <c r="P74" s="25"/>
    </row>
    <row r="75" spans="2:16" ht="16.5" customHeight="1" thickBot="1">
      <c r="B75" s="8"/>
      <c r="C75" s="11"/>
      <c r="D75" s="11"/>
      <c r="E75" s="11"/>
      <c r="F75" s="11"/>
      <c r="G75" s="11"/>
      <c r="H75" s="11"/>
      <c r="I75" s="11"/>
      <c r="J75" s="11"/>
      <c r="K75" s="11"/>
      <c r="L75" s="11"/>
      <c r="M75" s="11"/>
      <c r="N75" s="11"/>
      <c r="O75" s="25"/>
      <c r="P75" s="25"/>
    </row>
    <row r="76" spans="2:16" ht="16.5" customHeight="1" thickTop="1">
      <c r="B76" s="13" t="s">
        <v>23</v>
      </c>
      <c r="C76" s="12"/>
      <c r="D76" s="12"/>
      <c r="E76" s="12"/>
      <c r="F76" s="12"/>
      <c r="G76" s="12"/>
      <c r="H76" s="12"/>
      <c r="I76" s="12"/>
      <c r="J76" s="12"/>
      <c r="K76" s="12"/>
      <c r="L76" s="12"/>
      <c r="M76" s="12"/>
      <c r="N76" s="12"/>
      <c r="O76" s="26"/>
      <c r="P76" s="26"/>
    </row>
    <row r="77" spans="2:16" ht="16.5" customHeight="1">
      <c r="B77" s="18" t="s">
        <v>68</v>
      </c>
      <c r="C77" s="19"/>
      <c r="D77" s="19"/>
      <c r="E77" s="19"/>
      <c r="F77" s="19"/>
      <c r="G77" s="19"/>
      <c r="H77" s="19"/>
      <c r="I77" s="19"/>
      <c r="J77" s="19"/>
      <c r="K77" s="19"/>
      <c r="L77" s="19"/>
      <c r="M77" s="19"/>
      <c r="N77" s="19"/>
      <c r="O77" s="22">
        <f>SUM(tblCategoriaDespesa_07[[#This Row],[jan]:[dec]])</f>
        <v>0</v>
      </c>
      <c r="P77" s="22">
        <f>tblCategoriaDespesa_07[[#This Row],[year]]/12</f>
        <v>0</v>
      </c>
    </row>
    <row r="78" spans="2:16" ht="16.5" customHeight="1">
      <c r="B78" s="18" t="s">
        <v>69</v>
      </c>
      <c r="C78" s="19"/>
      <c r="D78" s="19"/>
      <c r="E78" s="19"/>
      <c r="F78" s="19"/>
      <c r="G78" s="19"/>
      <c r="H78" s="19"/>
      <c r="I78" s="19"/>
      <c r="J78" s="19"/>
      <c r="K78" s="19"/>
      <c r="L78" s="19"/>
      <c r="M78" s="19"/>
      <c r="N78" s="19"/>
      <c r="O78" s="22">
        <f>SUM(tblCategoriaDespesa_07[[#This Row],[jan]:[dec]])</f>
        <v>0</v>
      </c>
      <c r="P78" s="22">
        <f>tblCategoriaDespesa_07[[#This Row],[year]]/12</f>
        <v>0</v>
      </c>
    </row>
    <row r="79" spans="2:16" ht="16.5" customHeight="1">
      <c r="B79" s="18" t="s">
        <v>231</v>
      </c>
      <c r="C79" s="19"/>
      <c r="D79" s="19"/>
      <c r="E79" s="19"/>
      <c r="F79" s="19"/>
      <c r="G79" s="19"/>
      <c r="H79" s="19"/>
      <c r="I79" s="19"/>
      <c r="J79" s="19"/>
      <c r="K79" s="19"/>
      <c r="L79" s="19"/>
      <c r="M79" s="19"/>
      <c r="N79" s="19"/>
      <c r="O79" s="22">
        <f>SUM(tblCategoriaDespesa_07[[#This Row],[jan]:[dec]])</f>
        <v>0</v>
      </c>
      <c r="P79" s="22">
        <f>tblCategoriaDespesa_07[[#This Row],[year]]/12</f>
        <v>0</v>
      </c>
    </row>
    <row r="80" spans="2:16" s="2" customFormat="1" ht="16.5" customHeight="1">
      <c r="B80" s="18" t="s">
        <v>228</v>
      </c>
      <c r="C80" s="19"/>
      <c r="D80" s="19"/>
      <c r="E80" s="19"/>
      <c r="F80" s="19"/>
      <c r="G80" s="19"/>
      <c r="H80" s="19"/>
      <c r="I80" s="19"/>
      <c r="J80" s="19"/>
      <c r="K80" s="19"/>
      <c r="L80" s="19"/>
      <c r="M80" s="19"/>
      <c r="N80" s="19"/>
      <c r="O80" s="22">
        <f>SUM(tblCategoriaDespesa_07[[#This Row],[jan]:[dec]])</f>
        <v>0</v>
      </c>
      <c r="P80" s="22">
        <f>tblCategoriaDespesa_07[[#This Row],[year]]/12</f>
        <v>0</v>
      </c>
    </row>
    <row r="81" spans="2:16" ht="16.5" customHeight="1">
      <c r="B81" s="64" t="str">
        <f>UPPER("Total " &amp; B76)</f>
        <v>TOTAL EDUCAÇÃO</v>
      </c>
      <c r="C81" s="62">
        <f>SUM(tblCategoriaDespesa_07[jan])</f>
        <v>0</v>
      </c>
      <c r="D81" s="62">
        <f>SUM(tblCategoriaDespesa_07[feb])</f>
        <v>0</v>
      </c>
      <c r="E81" s="62">
        <f>SUM(tblCategoriaDespesa_07[mar])</f>
        <v>0</v>
      </c>
      <c r="F81" s="62">
        <f>SUM(tblCategoriaDespesa_07[apr])</f>
        <v>0</v>
      </c>
      <c r="G81" s="62">
        <f>SUM(tblCategoriaDespesa_07[may])</f>
        <v>0</v>
      </c>
      <c r="H81" s="62">
        <f>SUM(tblCategoriaDespesa_07[jun])</f>
        <v>0</v>
      </c>
      <c r="I81" s="62">
        <f>SUM(tblCategoriaDespesa_07[jul])</f>
        <v>0</v>
      </c>
      <c r="J81" s="62">
        <f>SUM(tblCategoriaDespesa_07[aug])</f>
        <v>0</v>
      </c>
      <c r="K81" s="62">
        <f>SUM(tblCategoriaDespesa_07[sep])</f>
        <v>0</v>
      </c>
      <c r="L81" s="62">
        <f>SUM(tblCategoriaDespesa_07[oct])</f>
        <v>0</v>
      </c>
      <c r="M81" s="62">
        <f>SUM(tblCategoriaDespesa_07[nov])</f>
        <v>0</v>
      </c>
      <c r="N81" s="62">
        <f>SUM(tblCategoriaDespesa_07[dec])</f>
        <v>0</v>
      </c>
      <c r="O81" s="63">
        <f>SUM(tblCategoriaDespesa_07[year])</f>
        <v>0</v>
      </c>
      <c r="P81" s="63">
        <f>tblCategoriaDespesa_07[[#Totals],[year]]/12</f>
        <v>0</v>
      </c>
    </row>
    <row r="82" spans="2:16" ht="16.5" customHeight="1">
      <c r="B82" s="72"/>
      <c r="C82" s="72"/>
      <c r="D82" s="72"/>
      <c r="E82" s="72"/>
      <c r="F82" s="72"/>
      <c r="G82" s="72"/>
      <c r="H82" s="72"/>
      <c r="I82" s="72"/>
      <c r="J82" s="72"/>
      <c r="K82" s="72"/>
      <c r="L82" s="72"/>
      <c r="M82" s="72"/>
      <c r="N82" s="72"/>
      <c r="O82" s="25"/>
      <c r="P82" s="25"/>
    </row>
    <row r="83" spans="2:16" ht="16.5" customHeight="1" thickBot="1">
      <c r="B83" s="8"/>
      <c r="C83" s="11"/>
      <c r="D83" s="11"/>
      <c r="E83" s="11"/>
      <c r="F83" s="11"/>
      <c r="G83" s="11"/>
      <c r="H83" s="11"/>
      <c r="I83" s="11"/>
      <c r="J83" s="11"/>
      <c r="K83" s="11"/>
      <c r="L83" s="11"/>
      <c r="M83" s="11"/>
      <c r="N83" s="11"/>
      <c r="O83" s="25"/>
      <c r="P83" s="25"/>
    </row>
    <row r="84" spans="2:16" ht="16.5" customHeight="1" thickTop="1">
      <c r="B84" s="13" t="s">
        <v>237</v>
      </c>
      <c r="C84" s="12"/>
      <c r="D84" s="12"/>
      <c r="E84" s="12"/>
      <c r="F84" s="12"/>
      <c r="G84" s="12"/>
      <c r="H84" s="12"/>
      <c r="I84" s="12"/>
      <c r="J84" s="12"/>
      <c r="K84" s="12"/>
      <c r="L84" s="12"/>
      <c r="M84" s="12"/>
      <c r="N84" s="12"/>
      <c r="O84" s="26"/>
      <c r="P84" s="26"/>
    </row>
    <row r="85" spans="2:16" ht="16.5" customHeight="1">
      <c r="B85" s="18" t="s">
        <v>71</v>
      </c>
      <c r="C85" s="19"/>
      <c r="D85" s="19"/>
      <c r="E85" s="19"/>
      <c r="F85" s="19"/>
      <c r="G85" s="19"/>
      <c r="H85" s="19"/>
      <c r="I85" s="19"/>
      <c r="J85" s="19"/>
      <c r="K85" s="19"/>
      <c r="L85" s="19"/>
      <c r="M85" s="19"/>
      <c r="N85" s="19"/>
      <c r="O85" s="22">
        <f>SUM(tblCategoriaDespesa_08[[#This Row],[jan]:[dec]])</f>
        <v>0</v>
      </c>
      <c r="P85" s="22">
        <f>tblCategoriaDespesa_08[[#This Row],[year]]/12</f>
        <v>0</v>
      </c>
    </row>
    <row r="86" spans="2:16" ht="16.5" customHeight="1">
      <c r="B86" s="18" t="s">
        <v>72</v>
      </c>
      <c r="C86" s="19"/>
      <c r="D86" s="19"/>
      <c r="E86" s="19"/>
      <c r="F86" s="19"/>
      <c r="G86" s="19"/>
      <c r="H86" s="19"/>
      <c r="I86" s="19"/>
      <c r="J86" s="19"/>
      <c r="K86" s="19"/>
      <c r="L86" s="19"/>
      <c r="M86" s="19"/>
      <c r="N86" s="19"/>
      <c r="O86" s="22">
        <f>SUM(tblCategoriaDespesa_08[[#This Row],[jan]:[dec]])</f>
        <v>0</v>
      </c>
      <c r="P86" s="22">
        <f>tblCategoriaDespesa_08[[#This Row],[year]]/12</f>
        <v>0</v>
      </c>
    </row>
    <row r="87" spans="2:16" s="2" customFormat="1" ht="16.5" customHeight="1">
      <c r="B87" s="18" t="s">
        <v>232</v>
      </c>
      <c r="C87" s="19"/>
      <c r="D87" s="19"/>
      <c r="E87" s="19"/>
      <c r="F87" s="19"/>
      <c r="G87" s="19"/>
      <c r="H87" s="19"/>
      <c r="I87" s="19"/>
      <c r="J87" s="19"/>
      <c r="K87" s="19"/>
      <c r="L87" s="19"/>
      <c r="M87" s="19"/>
      <c r="N87" s="19"/>
      <c r="O87" s="22">
        <f>SUM(tblCategoriaDespesa_08[[#This Row],[jan]:[dec]])</f>
        <v>0</v>
      </c>
      <c r="P87" s="22">
        <f>tblCategoriaDespesa_08[[#This Row],[year]]/12</f>
        <v>0</v>
      </c>
    </row>
    <row r="88" spans="2:16" s="2" customFormat="1" ht="16.5" customHeight="1">
      <c r="B88" s="18" t="s">
        <v>233</v>
      </c>
      <c r="C88" s="19"/>
      <c r="D88" s="19"/>
      <c r="E88" s="19"/>
      <c r="F88" s="19"/>
      <c r="G88" s="19"/>
      <c r="H88" s="19"/>
      <c r="I88" s="19"/>
      <c r="J88" s="19"/>
      <c r="K88" s="19"/>
      <c r="L88" s="19"/>
      <c r="M88" s="19"/>
      <c r="N88" s="19"/>
      <c r="O88" s="22">
        <f>SUM(tblCategoriaDespesa_08[[#This Row],[jan]:[dec]])</f>
        <v>0</v>
      </c>
      <c r="P88" s="22">
        <f>tblCategoriaDespesa_08[[#This Row],[year]]/12</f>
        <v>0</v>
      </c>
    </row>
    <row r="89" spans="2:16" s="2" customFormat="1" ht="16.5" customHeight="1">
      <c r="B89" s="18" t="s">
        <v>63</v>
      </c>
      <c r="C89" s="19"/>
      <c r="D89" s="19"/>
      <c r="E89" s="19"/>
      <c r="F89" s="19"/>
      <c r="G89" s="19"/>
      <c r="H89" s="19"/>
      <c r="I89" s="19"/>
      <c r="J89" s="19"/>
      <c r="K89" s="19"/>
      <c r="L89" s="19"/>
      <c r="M89" s="19"/>
      <c r="N89" s="19"/>
      <c r="O89" s="22">
        <f>SUM(tblCategoriaDespesa_08[[#This Row],[jan]:[dec]])</f>
        <v>0</v>
      </c>
      <c r="P89" s="22">
        <f>tblCategoriaDespesa_08[[#This Row],[year]]/12</f>
        <v>0</v>
      </c>
    </row>
    <row r="90" spans="2:16" ht="16.5" customHeight="1">
      <c r="B90" s="18" t="s">
        <v>15</v>
      </c>
      <c r="C90" s="19"/>
      <c r="D90" s="19"/>
      <c r="E90" s="19"/>
      <c r="F90" s="19"/>
      <c r="G90" s="19"/>
      <c r="H90" s="19"/>
      <c r="I90" s="19"/>
      <c r="J90" s="19"/>
      <c r="K90" s="19"/>
      <c r="L90" s="19"/>
      <c r="M90" s="19"/>
      <c r="N90" s="19"/>
      <c r="O90" s="22">
        <f>SUM(tblCategoriaDespesa_08[[#This Row],[jan]:[dec]])</f>
        <v>0</v>
      </c>
      <c r="P90" s="22">
        <f>tblCategoriaDespesa_08[[#This Row],[year]]/12</f>
        <v>0</v>
      </c>
    </row>
    <row r="91" spans="2:16" ht="16.5" customHeight="1">
      <c r="B91" s="64" t="str">
        <f>UPPER("Total " &amp; B84)</f>
        <v>TOTAL LAZER E ESPORTES</v>
      </c>
      <c r="C91" s="62">
        <f>SUM(tblCategoriaDespesa_08[jan])</f>
        <v>0</v>
      </c>
      <c r="D91" s="62">
        <f>SUM(tblCategoriaDespesa_08[feb])</f>
        <v>0</v>
      </c>
      <c r="E91" s="62">
        <f>SUM(tblCategoriaDespesa_08[mar])</f>
        <v>0</v>
      </c>
      <c r="F91" s="62">
        <f>SUM(tblCategoriaDespesa_08[apr])</f>
        <v>0</v>
      </c>
      <c r="G91" s="62">
        <f>SUM(tblCategoriaDespesa_08[may])</f>
        <v>0</v>
      </c>
      <c r="H91" s="62">
        <f>SUM(tblCategoriaDespesa_08[jun])</f>
        <v>0</v>
      </c>
      <c r="I91" s="62">
        <f>SUM(tblCategoriaDespesa_08[jul])</f>
        <v>0</v>
      </c>
      <c r="J91" s="62">
        <f>SUM(tblCategoriaDespesa_08[aug])</f>
        <v>0</v>
      </c>
      <c r="K91" s="62">
        <f>SUM(tblCategoriaDespesa_08[sep])</f>
        <v>0</v>
      </c>
      <c r="L91" s="62">
        <f>SUM(tblCategoriaDespesa_08[oct])</f>
        <v>0</v>
      </c>
      <c r="M91" s="62">
        <f>SUM(tblCategoriaDespesa_08[nov])</f>
        <v>0</v>
      </c>
      <c r="N91" s="62">
        <f>SUM(tblCategoriaDespesa_08[dec])</f>
        <v>0</v>
      </c>
      <c r="O91" s="63">
        <f>SUM(tblCategoriaDespesa_08[year])</f>
        <v>0</v>
      </c>
      <c r="P91" s="63">
        <f>tblCategoriaDespesa_08[[#Totals],[year]]/12</f>
        <v>0</v>
      </c>
    </row>
    <row r="92" spans="2:16" ht="16.5" customHeight="1">
      <c r="B92" s="73"/>
      <c r="C92" s="73"/>
      <c r="D92" s="73"/>
      <c r="E92" s="73"/>
      <c r="F92" s="73"/>
      <c r="G92" s="73"/>
      <c r="H92" s="73"/>
      <c r="I92" s="73"/>
      <c r="J92" s="73"/>
      <c r="K92" s="73"/>
      <c r="L92" s="73"/>
      <c r="M92" s="73"/>
      <c r="N92" s="73"/>
      <c r="O92" s="68"/>
      <c r="P92" s="68"/>
    </row>
    <row r="93" spans="2:16" ht="16.5" customHeight="1" thickBot="1">
      <c r="B93" s="8"/>
      <c r="C93" s="11"/>
      <c r="D93" s="11"/>
      <c r="E93" s="11"/>
      <c r="F93" s="11"/>
      <c r="G93" s="11"/>
      <c r="H93" s="11"/>
      <c r="I93" s="11"/>
      <c r="J93" s="11"/>
      <c r="K93" s="11"/>
      <c r="L93" s="11"/>
      <c r="M93" s="11"/>
      <c r="N93" s="11"/>
      <c r="O93" s="25"/>
      <c r="P93" s="25"/>
    </row>
    <row r="94" spans="2:16" ht="16.5" customHeight="1" thickTop="1">
      <c r="B94" s="13" t="s">
        <v>25</v>
      </c>
      <c r="C94" s="12"/>
      <c r="D94" s="12"/>
      <c r="E94" s="12"/>
      <c r="F94" s="12"/>
      <c r="G94" s="12"/>
      <c r="H94" s="12"/>
      <c r="I94" s="12"/>
      <c r="J94" s="12"/>
      <c r="K94" s="12"/>
      <c r="L94" s="12"/>
      <c r="M94" s="12"/>
      <c r="N94" s="12"/>
      <c r="O94" s="26"/>
      <c r="P94" s="26"/>
    </row>
    <row r="95" spans="2:16" ht="16.5" customHeight="1">
      <c r="B95" s="18" t="s">
        <v>74</v>
      </c>
      <c r="C95" s="19"/>
      <c r="D95" s="19"/>
      <c r="E95" s="19"/>
      <c r="F95" s="19"/>
      <c r="G95" s="19"/>
      <c r="H95" s="19"/>
      <c r="I95" s="19"/>
      <c r="J95" s="19"/>
      <c r="K95" s="19"/>
      <c r="L95" s="19"/>
      <c r="M95" s="19"/>
      <c r="N95" s="19"/>
      <c r="O95" s="22">
        <f>SUM(tblCategoriaDespesa_09[[#This Row],[jan]:[dec]])</f>
        <v>0</v>
      </c>
      <c r="P95" s="22">
        <f>tblCategoriaDespesa_09[[#This Row],[year]]/12</f>
        <v>0</v>
      </c>
    </row>
    <row r="96" spans="2:16" ht="16.5" customHeight="1">
      <c r="B96" s="18" t="s">
        <v>238</v>
      </c>
      <c r="C96" s="19"/>
      <c r="D96" s="19"/>
      <c r="E96" s="19"/>
      <c r="F96" s="19"/>
      <c r="G96" s="19"/>
      <c r="H96" s="19"/>
      <c r="I96" s="19"/>
      <c r="J96" s="19"/>
      <c r="K96" s="19"/>
      <c r="L96" s="19"/>
      <c r="M96" s="19"/>
      <c r="N96" s="19"/>
      <c r="O96" s="22">
        <f>SUM(tblCategoriaDespesa_09[[#This Row],[jan]:[dec]])</f>
        <v>0</v>
      </c>
      <c r="P96" s="22">
        <f>tblCategoriaDespesa_09[[#This Row],[year]]/12</f>
        <v>0</v>
      </c>
    </row>
    <row r="97" spans="2:16" ht="16.5" customHeight="1">
      <c r="B97" s="18" t="s">
        <v>239</v>
      </c>
      <c r="C97" s="19"/>
      <c r="D97" s="19"/>
      <c r="E97" s="19"/>
      <c r="F97" s="19"/>
      <c r="G97" s="19"/>
      <c r="H97" s="19"/>
      <c r="I97" s="19"/>
      <c r="J97" s="19"/>
      <c r="K97" s="19"/>
      <c r="L97" s="19"/>
      <c r="M97" s="19"/>
      <c r="N97" s="19"/>
      <c r="O97" s="22">
        <f>SUM(tblCategoriaDespesa_09[[#This Row],[jan]:[dec]])</f>
        <v>0</v>
      </c>
      <c r="P97" s="22">
        <f>tblCategoriaDespesa_09[[#This Row],[year]]/12</f>
        <v>0</v>
      </c>
    </row>
    <row r="98" spans="2:16" ht="16.5" customHeight="1">
      <c r="B98" s="64" t="str">
        <f>UPPER("Total " &amp; B94)</f>
        <v>TOTAL POUPANÇA</v>
      </c>
      <c r="C98" s="62">
        <f>SUM(tblCategoriaDespesa_09[jan])</f>
        <v>0</v>
      </c>
      <c r="D98" s="62">
        <f>SUM(tblCategoriaDespesa_09[feb])</f>
        <v>0</v>
      </c>
      <c r="E98" s="62">
        <f>SUM(tblCategoriaDespesa_09[mar])</f>
        <v>0</v>
      </c>
      <c r="F98" s="62">
        <f>SUM(tblCategoriaDespesa_09[apr])</f>
        <v>0</v>
      </c>
      <c r="G98" s="62">
        <f>SUM(tblCategoriaDespesa_09[may])</f>
        <v>0</v>
      </c>
      <c r="H98" s="62">
        <f>SUM(tblCategoriaDespesa_09[jun])</f>
        <v>0</v>
      </c>
      <c r="I98" s="62">
        <f>SUM(tblCategoriaDespesa_09[jul])</f>
        <v>0</v>
      </c>
      <c r="J98" s="62">
        <f>SUM(tblCategoriaDespesa_09[aug])</f>
        <v>0</v>
      </c>
      <c r="K98" s="62">
        <f>SUM(tblCategoriaDespesa_09[sep])</f>
        <v>0</v>
      </c>
      <c r="L98" s="62">
        <f>SUM(tblCategoriaDespesa_09[oct])</f>
        <v>0</v>
      </c>
      <c r="M98" s="62">
        <f>SUM(tblCategoriaDespesa_09[nov])</f>
        <v>0</v>
      </c>
      <c r="N98" s="62">
        <f>SUM(tblCategoriaDespesa_09[dec])</f>
        <v>0</v>
      </c>
      <c r="O98" s="63">
        <f>SUM(tblCategoriaDespesa_09[year])</f>
        <v>0</v>
      </c>
      <c r="P98" s="63">
        <f>tblCategoriaDespesa_09[[#Totals],[year]]/12</f>
        <v>0</v>
      </c>
    </row>
    <row r="99" spans="2:16" ht="16.5" customHeight="1">
      <c r="B99" s="72"/>
      <c r="C99" s="72"/>
      <c r="D99" s="72"/>
      <c r="E99" s="72"/>
      <c r="F99" s="72"/>
      <c r="G99" s="72"/>
      <c r="H99" s="72"/>
      <c r="I99" s="72"/>
      <c r="J99" s="72"/>
      <c r="K99" s="72"/>
      <c r="L99" s="72"/>
      <c r="M99" s="72"/>
      <c r="N99" s="72"/>
      <c r="O99" s="25"/>
      <c r="P99" s="25"/>
    </row>
    <row r="100" spans="2:16" ht="16.5" customHeight="1" thickBot="1">
      <c r="B100" s="8"/>
      <c r="C100" s="11"/>
      <c r="D100" s="11"/>
      <c r="E100" s="11"/>
      <c r="F100" s="11"/>
      <c r="G100" s="11"/>
      <c r="H100" s="11"/>
      <c r="I100" s="11"/>
      <c r="J100" s="11"/>
      <c r="K100" s="11"/>
      <c r="L100" s="11"/>
      <c r="M100" s="11"/>
      <c r="N100" s="11"/>
      <c r="O100" s="25"/>
      <c r="P100" s="25"/>
    </row>
    <row r="101" spans="2:16" ht="16.5" customHeight="1" thickTop="1">
      <c r="B101" s="13" t="s">
        <v>240</v>
      </c>
      <c r="C101" s="12"/>
      <c r="D101" s="12"/>
      <c r="E101" s="12"/>
      <c r="F101" s="12"/>
      <c r="G101" s="12"/>
      <c r="H101" s="12"/>
      <c r="I101" s="12"/>
      <c r="J101" s="12"/>
      <c r="K101" s="12"/>
      <c r="L101" s="12"/>
      <c r="M101" s="12"/>
      <c r="N101" s="12"/>
      <c r="O101" s="26"/>
      <c r="P101" s="26"/>
    </row>
    <row r="102" spans="2:16" ht="16.5" customHeight="1">
      <c r="B102" s="18" t="s">
        <v>82</v>
      </c>
      <c r="C102" s="19"/>
      <c r="D102" s="19"/>
      <c r="E102" s="19"/>
      <c r="F102" s="19"/>
      <c r="G102" s="19"/>
      <c r="H102" s="19"/>
      <c r="I102" s="19"/>
      <c r="J102" s="19"/>
      <c r="K102" s="19"/>
      <c r="L102" s="19"/>
      <c r="M102" s="19"/>
      <c r="N102" s="19"/>
      <c r="O102" s="22">
        <f>SUM(tblCategoriaDespesa_10[[#This Row],[jan]:[dec]])</f>
        <v>0</v>
      </c>
      <c r="P102" s="22">
        <f>tblCategoriaDespesa_10[[#This Row],[year]]/12</f>
        <v>0</v>
      </c>
    </row>
    <row r="103" spans="2:16" s="2" customFormat="1" ht="16.5" customHeight="1">
      <c r="B103" s="18" t="s">
        <v>81</v>
      </c>
      <c r="C103" s="19"/>
      <c r="D103" s="19"/>
      <c r="E103" s="19"/>
      <c r="F103" s="19"/>
      <c r="G103" s="19"/>
      <c r="H103" s="19"/>
      <c r="I103" s="19"/>
      <c r="J103" s="19"/>
      <c r="K103" s="19"/>
      <c r="L103" s="19"/>
      <c r="M103" s="19"/>
      <c r="N103" s="19"/>
      <c r="O103" s="22">
        <f>SUM(tblCategoriaDespesa_10[[#This Row],[jan]:[dec]])</f>
        <v>0</v>
      </c>
      <c r="P103" s="22">
        <f>tblCategoriaDespesa_10[[#This Row],[year]]/12</f>
        <v>0</v>
      </c>
    </row>
    <row r="104" spans="2:16" ht="16.5" customHeight="1">
      <c r="B104" s="18" t="s">
        <v>241</v>
      </c>
      <c r="C104" s="19"/>
      <c r="D104" s="19"/>
      <c r="E104" s="19"/>
      <c r="F104" s="19"/>
      <c r="G104" s="19"/>
      <c r="H104" s="19"/>
      <c r="I104" s="19"/>
      <c r="J104" s="19"/>
      <c r="K104" s="19"/>
      <c r="L104" s="19"/>
      <c r="M104" s="19"/>
      <c r="N104" s="19"/>
      <c r="O104" s="22">
        <f>SUM(tblCategoriaDespesa_10[[#This Row],[jan]:[dec]])</f>
        <v>0</v>
      </c>
      <c r="P104" s="22">
        <f>tblCategoriaDespesa_10[[#This Row],[year]]/12</f>
        <v>0</v>
      </c>
    </row>
    <row r="105" spans="2:16" s="2" customFormat="1" ht="16.5" customHeight="1">
      <c r="B105" s="18" t="s">
        <v>242</v>
      </c>
      <c r="C105" s="19"/>
      <c r="D105" s="19"/>
      <c r="E105" s="19"/>
      <c r="F105" s="19"/>
      <c r="G105" s="19"/>
      <c r="H105" s="19"/>
      <c r="I105" s="19"/>
      <c r="J105" s="19"/>
      <c r="K105" s="19"/>
      <c r="L105" s="19"/>
      <c r="M105" s="19"/>
      <c r="N105" s="19"/>
      <c r="O105" s="22">
        <f>SUM(tblCategoriaDespesa_10[[#This Row],[jan]:[dec]])</f>
        <v>0</v>
      </c>
      <c r="P105" s="22">
        <f>tblCategoriaDespesa_10[[#This Row],[year]]/12</f>
        <v>0</v>
      </c>
    </row>
    <row r="106" spans="2:16" ht="16.5" customHeight="1">
      <c r="B106" s="18" t="s">
        <v>15</v>
      </c>
      <c r="C106" s="19"/>
      <c r="D106" s="19"/>
      <c r="E106" s="19"/>
      <c r="F106" s="19"/>
      <c r="G106" s="19"/>
      <c r="H106" s="19"/>
      <c r="I106" s="19"/>
      <c r="J106" s="19"/>
      <c r="K106" s="19"/>
      <c r="L106" s="19"/>
      <c r="M106" s="19"/>
      <c r="N106" s="19"/>
      <c r="O106" s="22">
        <f>SUM(tblCategoriaDespesa_10[[#This Row],[jan]:[dec]])</f>
        <v>0</v>
      </c>
      <c r="P106" s="22">
        <f>tblCategoriaDespesa_10[[#This Row],[year]]/12</f>
        <v>0</v>
      </c>
    </row>
    <row r="107" spans="2:16" ht="16.5" customHeight="1">
      <c r="B107" s="64" t="str">
        <f>UPPER("Total " &amp; B101)</f>
        <v>TOTAL OBRIGAÇÕES / IMPOSTOS</v>
      </c>
      <c r="C107" s="62">
        <f>SUM(tblCategoriaDespesa_10[jan])</f>
        <v>0</v>
      </c>
      <c r="D107" s="62">
        <f>SUM(tblCategoriaDespesa_10[feb])</f>
        <v>0</v>
      </c>
      <c r="E107" s="62">
        <f>SUM(tblCategoriaDespesa_10[mar])</f>
        <v>0</v>
      </c>
      <c r="F107" s="62">
        <f>SUM(tblCategoriaDespesa_10[apr])</f>
        <v>0</v>
      </c>
      <c r="G107" s="62">
        <f>SUM(tblCategoriaDespesa_10[may])</f>
        <v>0</v>
      </c>
      <c r="H107" s="62">
        <f>SUM(tblCategoriaDespesa_10[jun])</f>
        <v>0</v>
      </c>
      <c r="I107" s="62">
        <f>SUM(tblCategoriaDespesa_10[jul])</f>
        <v>0</v>
      </c>
      <c r="J107" s="62">
        <f>SUM(tblCategoriaDespesa_10[aug])</f>
        <v>0</v>
      </c>
      <c r="K107" s="62">
        <f>SUM(tblCategoriaDespesa_10[sep])</f>
        <v>0</v>
      </c>
      <c r="L107" s="62">
        <f>SUM(tblCategoriaDespesa_10[oct])</f>
        <v>0</v>
      </c>
      <c r="M107" s="62">
        <f>SUM(tblCategoriaDespesa_10[nov])</f>
        <v>0</v>
      </c>
      <c r="N107" s="62">
        <f>SUM(tblCategoriaDespesa_10[dec])</f>
        <v>0</v>
      </c>
      <c r="O107" s="63">
        <f>SUM(tblCategoriaDespesa_10[year])</f>
        <v>0</v>
      </c>
      <c r="P107" s="63">
        <f>tblCategoriaDespesa_10[[#Totals],[year]]/12</f>
        <v>0</v>
      </c>
    </row>
    <row r="108" spans="2:16" ht="16.5" customHeight="1">
      <c r="B108" s="72"/>
      <c r="C108" s="72"/>
      <c r="D108" s="72"/>
      <c r="E108" s="72"/>
      <c r="F108" s="72"/>
      <c r="G108" s="72"/>
      <c r="H108" s="72"/>
      <c r="I108" s="72"/>
      <c r="J108" s="72"/>
      <c r="K108" s="72"/>
      <c r="L108" s="72"/>
      <c r="M108" s="72"/>
      <c r="N108" s="72"/>
      <c r="O108" s="25"/>
      <c r="P108" s="25"/>
    </row>
    <row r="109" spans="2:16" ht="16.5" customHeight="1" thickBot="1">
      <c r="B109" s="8"/>
      <c r="C109" s="11"/>
      <c r="D109" s="11"/>
      <c r="E109" s="11"/>
      <c r="F109" s="11"/>
      <c r="G109" s="11"/>
      <c r="H109" s="11"/>
      <c r="I109" s="11"/>
      <c r="J109" s="11"/>
      <c r="K109" s="11"/>
      <c r="L109" s="11"/>
      <c r="M109" s="11"/>
      <c r="N109" s="11"/>
      <c r="O109" s="25"/>
      <c r="P109" s="25"/>
    </row>
    <row r="110" spans="2:16" ht="16.5" customHeight="1" thickTop="1">
      <c r="B110" s="13" t="s">
        <v>1</v>
      </c>
      <c r="C110" s="12"/>
      <c r="D110" s="12"/>
      <c r="E110" s="12"/>
      <c r="F110" s="12"/>
      <c r="G110" s="12"/>
      <c r="H110" s="12"/>
      <c r="I110" s="12"/>
      <c r="J110" s="12"/>
      <c r="K110" s="12"/>
      <c r="L110" s="12"/>
      <c r="M110" s="12"/>
      <c r="N110" s="12"/>
      <c r="O110" s="26"/>
      <c r="P110" s="26"/>
    </row>
    <row r="111" spans="2:16" ht="16.5" customHeight="1">
      <c r="B111" s="18"/>
      <c r="C111" s="19"/>
      <c r="D111" s="19"/>
      <c r="E111" s="19"/>
      <c r="F111" s="19"/>
      <c r="G111" s="19"/>
      <c r="H111" s="19"/>
      <c r="I111" s="19"/>
      <c r="J111" s="19"/>
      <c r="K111" s="19"/>
      <c r="L111" s="19"/>
      <c r="M111" s="19"/>
      <c r="N111" s="19"/>
      <c r="O111" s="22">
        <f>SUM(tblCategoriaDespesa_11[[#This Row],[jan]:[dec]])</f>
        <v>0</v>
      </c>
      <c r="P111" s="22">
        <f>tblCategoriaDespesa_11[[#This Row],[year]]/12</f>
        <v>0</v>
      </c>
    </row>
    <row r="112" spans="2:16" ht="16.5" customHeight="1">
      <c r="B112" s="18"/>
      <c r="C112" s="19"/>
      <c r="D112" s="19"/>
      <c r="E112" s="19"/>
      <c r="F112" s="19"/>
      <c r="G112" s="19"/>
      <c r="H112" s="19"/>
      <c r="I112" s="19"/>
      <c r="J112" s="19"/>
      <c r="K112" s="19"/>
      <c r="L112" s="19"/>
      <c r="M112" s="19"/>
      <c r="N112" s="19"/>
      <c r="O112" s="22">
        <f>SUM(tblCategoriaDespesa_11[[#This Row],[jan]:[dec]])</f>
        <v>0</v>
      </c>
      <c r="P112" s="22">
        <f>tblCategoriaDespesa_11[[#This Row],[year]]/12</f>
        <v>0</v>
      </c>
    </row>
    <row r="113" spans="2:16" ht="16.5" customHeight="1">
      <c r="B113" s="18"/>
      <c r="C113" s="19"/>
      <c r="D113" s="19"/>
      <c r="E113" s="19"/>
      <c r="F113" s="19"/>
      <c r="G113" s="19"/>
      <c r="H113" s="19"/>
      <c r="I113" s="19"/>
      <c r="J113" s="19"/>
      <c r="K113" s="19"/>
      <c r="L113" s="19"/>
      <c r="M113" s="19"/>
      <c r="N113" s="19"/>
      <c r="O113" s="22">
        <f>SUM(tblCategoriaDespesa_11[[#This Row],[jan]:[dec]])</f>
        <v>0</v>
      </c>
      <c r="P113" s="22">
        <f>tblCategoriaDespesa_11[[#This Row],[year]]/12</f>
        <v>0</v>
      </c>
    </row>
    <row r="114" spans="2:16" ht="16.5" customHeight="1">
      <c r="B114" s="18" t="str">
        <f>UPPER("Total " &amp; B110)</f>
        <v xml:space="preserve">TOTAL  </v>
      </c>
      <c r="C114" s="19">
        <f>SUM(tblCategoriaDespesa_11[jan])</f>
        <v>0</v>
      </c>
      <c r="D114" s="19">
        <f>SUM(tblCategoriaDespesa_11[feb])</f>
        <v>0</v>
      </c>
      <c r="E114" s="19">
        <f>SUM(tblCategoriaDespesa_11[mar])</f>
        <v>0</v>
      </c>
      <c r="F114" s="19">
        <f>SUM(tblCategoriaDespesa_11[apr])</f>
        <v>0</v>
      </c>
      <c r="G114" s="19">
        <f>SUM(tblCategoriaDespesa_11[may])</f>
        <v>0</v>
      </c>
      <c r="H114" s="19">
        <f>SUM(tblCategoriaDespesa_11[jun])</f>
        <v>0</v>
      </c>
      <c r="I114" s="19">
        <f>SUM(tblCategoriaDespesa_11[jul])</f>
        <v>0</v>
      </c>
      <c r="J114" s="19">
        <f>SUM(tblCategoriaDespesa_11[aug])</f>
        <v>0</v>
      </c>
      <c r="K114" s="19">
        <f>SUM(tblCategoriaDespesa_11[sep])</f>
        <v>0</v>
      </c>
      <c r="L114" s="19">
        <f>SUM(tblCategoriaDespesa_11[oct])</f>
        <v>0</v>
      </c>
      <c r="M114" s="19">
        <f>SUM(tblCategoriaDespesa_11[nov])</f>
        <v>0</v>
      </c>
      <c r="N114" s="19">
        <f>SUM(tblCategoriaDespesa_11[dec])</f>
        <v>0</v>
      </c>
      <c r="O114" s="22">
        <f>SUM(tblCategoriaDespesa_11[year])</f>
        <v>0</v>
      </c>
      <c r="P114" s="22">
        <f>tblCategoriaDespesa_11[[#Totals],[year]]/12</f>
        <v>0</v>
      </c>
    </row>
    <row r="115" spans="2:16" ht="16.5" customHeight="1">
      <c r="B115" s="72"/>
      <c r="C115" s="72"/>
      <c r="D115" s="72"/>
      <c r="E115" s="72"/>
      <c r="F115" s="72"/>
      <c r="G115" s="72"/>
      <c r="H115" s="72"/>
      <c r="I115" s="72"/>
      <c r="J115" s="72"/>
      <c r="K115" s="72"/>
      <c r="L115" s="72"/>
      <c r="M115" s="72"/>
      <c r="N115" s="72"/>
      <c r="O115" s="25"/>
      <c r="P115" s="25"/>
    </row>
    <row r="116" spans="2:16" ht="16.5" customHeight="1" thickBot="1">
      <c r="B116" s="8"/>
      <c r="C116" s="11"/>
      <c r="D116" s="11"/>
      <c r="E116" s="11"/>
      <c r="F116" s="11"/>
      <c r="G116" s="11"/>
      <c r="H116" s="11"/>
      <c r="I116" s="11"/>
      <c r="J116" s="11"/>
      <c r="K116" s="11"/>
      <c r="L116" s="11"/>
      <c r="M116" s="11"/>
      <c r="N116" s="11"/>
      <c r="O116" s="25"/>
      <c r="P116" s="25"/>
    </row>
    <row r="117" spans="2:16" ht="16.5" customHeight="1" thickTop="1">
      <c r="B117" s="13" t="s">
        <v>1</v>
      </c>
      <c r="C117" s="12"/>
      <c r="D117" s="12"/>
      <c r="E117" s="12"/>
      <c r="F117" s="12"/>
      <c r="G117" s="12"/>
      <c r="H117" s="12"/>
      <c r="I117" s="12"/>
      <c r="J117" s="12"/>
      <c r="K117" s="12"/>
      <c r="L117" s="12"/>
      <c r="M117" s="12"/>
      <c r="N117" s="12"/>
      <c r="O117" s="26"/>
      <c r="P117" s="26"/>
    </row>
    <row r="118" spans="2:16" ht="16.5" customHeight="1">
      <c r="B118" s="18"/>
      <c r="C118" s="19"/>
      <c r="D118" s="19"/>
      <c r="E118" s="19"/>
      <c r="F118" s="19"/>
      <c r="G118" s="19"/>
      <c r="H118" s="19"/>
      <c r="I118" s="19"/>
      <c r="J118" s="19"/>
      <c r="K118" s="19"/>
      <c r="L118" s="19"/>
      <c r="M118" s="19"/>
      <c r="N118" s="19"/>
      <c r="O118" s="22">
        <f>SUM(tblCategoriaDespesa_12[[#This Row],[jan]:[dec]])</f>
        <v>0</v>
      </c>
      <c r="P118" s="22">
        <f>tblCategoriaDespesa_12[[#This Row],[year]]/12</f>
        <v>0</v>
      </c>
    </row>
    <row r="119" spans="2:16" ht="16.5" customHeight="1">
      <c r="B119" s="18"/>
      <c r="C119" s="19"/>
      <c r="D119" s="19"/>
      <c r="E119" s="19"/>
      <c r="F119" s="19"/>
      <c r="G119" s="19"/>
      <c r="H119" s="19"/>
      <c r="I119" s="19"/>
      <c r="J119" s="19"/>
      <c r="K119" s="19"/>
      <c r="L119" s="19"/>
      <c r="M119" s="19"/>
      <c r="N119" s="19"/>
      <c r="O119" s="22">
        <f>SUM(tblCategoriaDespesa_12[[#This Row],[jan]:[dec]])</f>
        <v>0</v>
      </c>
      <c r="P119" s="22">
        <f>tblCategoriaDespesa_12[[#This Row],[year]]/12</f>
        <v>0</v>
      </c>
    </row>
    <row r="120" spans="2:16" ht="16.5" customHeight="1">
      <c r="B120" s="18"/>
      <c r="C120" s="19"/>
      <c r="D120" s="19"/>
      <c r="E120" s="19"/>
      <c r="F120" s="19"/>
      <c r="G120" s="19"/>
      <c r="H120" s="19"/>
      <c r="I120" s="19"/>
      <c r="J120" s="19"/>
      <c r="K120" s="19"/>
      <c r="L120" s="19"/>
      <c r="M120" s="19"/>
      <c r="N120" s="19"/>
      <c r="O120" s="22">
        <f>SUM(tblCategoriaDespesa_12[[#This Row],[jan]:[dec]])</f>
        <v>0</v>
      </c>
      <c r="P120" s="22">
        <f>tblCategoriaDespesa_12[[#This Row],[year]]/12</f>
        <v>0</v>
      </c>
    </row>
    <row r="121" spans="2:16" ht="16.5" customHeight="1">
      <c r="B121" s="18" t="str">
        <f>UPPER("Total " &amp; B117)</f>
        <v xml:space="preserve">TOTAL  </v>
      </c>
      <c r="C121" s="19">
        <f>SUM(tblCategoriaDespesa_12[jan])</f>
        <v>0</v>
      </c>
      <c r="D121" s="19">
        <f>SUM(tblCategoriaDespesa_12[feb])</f>
        <v>0</v>
      </c>
      <c r="E121" s="19">
        <f>SUM(tblCategoriaDespesa_12[mar])</f>
        <v>0</v>
      </c>
      <c r="F121" s="19">
        <f>SUM(tblCategoriaDespesa_12[apr])</f>
        <v>0</v>
      </c>
      <c r="G121" s="19">
        <f>SUM(tblCategoriaDespesa_12[may])</f>
        <v>0</v>
      </c>
      <c r="H121" s="19">
        <f>SUM(tblCategoriaDespesa_12[jun])</f>
        <v>0</v>
      </c>
      <c r="I121" s="19">
        <f>SUM(tblCategoriaDespesa_12[jul])</f>
        <v>0</v>
      </c>
      <c r="J121" s="19">
        <f>SUM(tblCategoriaDespesa_12[aug])</f>
        <v>0</v>
      </c>
      <c r="K121" s="19">
        <f>SUM(tblCategoriaDespesa_12[sep])</f>
        <v>0</v>
      </c>
      <c r="L121" s="19">
        <f>SUM(tblCategoriaDespesa_12[oct])</f>
        <v>0</v>
      </c>
      <c r="M121" s="19">
        <f>SUM(tblCategoriaDespesa_12[nov])</f>
        <v>0</v>
      </c>
      <c r="N121" s="19">
        <f>SUM(tblCategoriaDespesa_12[dec])</f>
        <v>0</v>
      </c>
      <c r="O121" s="22">
        <f>SUM(tblCategoriaDespesa_12[year])</f>
        <v>0</v>
      </c>
      <c r="P121" s="22">
        <f>tblCategoriaDespesa_12[[#Totals],[year]]/12</f>
        <v>0</v>
      </c>
    </row>
    <row r="122" spans="2:16" ht="16.5" customHeight="1">
      <c r="B122" s="72"/>
      <c r="C122" s="72"/>
      <c r="D122" s="72"/>
      <c r="E122" s="72"/>
      <c r="F122" s="72"/>
      <c r="G122" s="72"/>
      <c r="H122" s="72"/>
      <c r="I122" s="72"/>
      <c r="J122" s="72"/>
      <c r="K122" s="72"/>
      <c r="L122" s="72"/>
      <c r="M122" s="72"/>
      <c r="N122" s="72"/>
      <c r="O122" s="25"/>
      <c r="P122" s="25"/>
    </row>
    <row r="123" spans="2:16" ht="16.5" customHeight="1" thickBot="1">
      <c r="B123" s="8"/>
      <c r="C123" s="11"/>
      <c r="D123" s="11"/>
      <c r="E123" s="11"/>
      <c r="F123" s="11"/>
      <c r="G123" s="11"/>
      <c r="H123" s="11"/>
      <c r="I123" s="11"/>
      <c r="J123" s="11"/>
      <c r="K123" s="11"/>
      <c r="L123" s="11"/>
      <c r="M123" s="11"/>
      <c r="N123" s="11"/>
      <c r="O123" s="25"/>
      <c r="P123" s="25"/>
    </row>
    <row r="124" spans="2:16" ht="16.5" customHeight="1" thickTop="1">
      <c r="B124" s="13" t="s">
        <v>1</v>
      </c>
      <c r="C124" s="12"/>
      <c r="D124" s="12"/>
      <c r="E124" s="12"/>
      <c r="F124" s="12"/>
      <c r="G124" s="12"/>
      <c r="H124" s="12"/>
      <c r="I124" s="12"/>
      <c r="J124" s="12"/>
      <c r="K124" s="12"/>
      <c r="L124" s="12"/>
      <c r="M124" s="12"/>
      <c r="N124" s="12"/>
      <c r="O124" s="26"/>
      <c r="P124" s="26"/>
    </row>
    <row r="125" spans="2:16" ht="16.5" customHeight="1">
      <c r="B125" s="18"/>
      <c r="C125" s="19"/>
      <c r="D125" s="19"/>
      <c r="E125" s="19"/>
      <c r="F125" s="19"/>
      <c r="G125" s="19"/>
      <c r="H125" s="19"/>
      <c r="I125" s="19"/>
      <c r="J125" s="19"/>
      <c r="K125" s="19"/>
      <c r="L125" s="19"/>
      <c r="M125" s="19"/>
      <c r="N125" s="19"/>
      <c r="O125" s="22">
        <f>SUM(tblCategoriaDespesa_13[[#This Row],[jan]:[dec]])</f>
        <v>0</v>
      </c>
      <c r="P125" s="22">
        <f>tblCategoriaDespesa_13[[#This Row],[year]]/12</f>
        <v>0</v>
      </c>
    </row>
    <row r="126" spans="2:16" ht="16.5" customHeight="1">
      <c r="B126" s="18"/>
      <c r="C126" s="19"/>
      <c r="D126" s="19"/>
      <c r="E126" s="19"/>
      <c r="F126" s="19"/>
      <c r="G126" s="19"/>
      <c r="H126" s="19"/>
      <c r="I126" s="19"/>
      <c r="J126" s="19"/>
      <c r="K126" s="19"/>
      <c r="L126" s="19"/>
      <c r="M126" s="19"/>
      <c r="N126" s="19"/>
      <c r="O126" s="22">
        <f>SUM(tblCategoriaDespesa_13[[#This Row],[jan]:[dec]])</f>
        <v>0</v>
      </c>
      <c r="P126" s="22">
        <f>tblCategoriaDespesa_13[[#This Row],[year]]/12</f>
        <v>0</v>
      </c>
    </row>
    <row r="127" spans="2:16" ht="16.5" customHeight="1">
      <c r="B127" s="18"/>
      <c r="C127" s="19"/>
      <c r="D127" s="19"/>
      <c r="E127" s="19"/>
      <c r="F127" s="19"/>
      <c r="G127" s="19"/>
      <c r="H127" s="19"/>
      <c r="I127" s="19"/>
      <c r="J127" s="19"/>
      <c r="K127" s="19"/>
      <c r="L127" s="19"/>
      <c r="M127" s="19"/>
      <c r="N127" s="19"/>
      <c r="O127" s="22">
        <f>SUM(tblCategoriaDespesa_13[[#This Row],[jan]:[dec]])</f>
        <v>0</v>
      </c>
      <c r="P127" s="22">
        <f>tblCategoriaDespesa_13[[#This Row],[year]]/12</f>
        <v>0</v>
      </c>
    </row>
    <row r="128" spans="2:16" ht="16.5" customHeight="1">
      <c r="B128" s="18" t="str">
        <f>UPPER("Total " &amp; B124)</f>
        <v xml:space="preserve">TOTAL  </v>
      </c>
      <c r="C128" s="19">
        <f>SUM(tblCategoriaDespesa_13[jan])</f>
        <v>0</v>
      </c>
      <c r="D128" s="19">
        <f>SUM(tblCategoriaDespesa_13[feb])</f>
        <v>0</v>
      </c>
      <c r="E128" s="19">
        <f>SUM(tblCategoriaDespesa_13[mar])</f>
        <v>0</v>
      </c>
      <c r="F128" s="19">
        <f>SUM(tblCategoriaDespesa_13[apr])</f>
        <v>0</v>
      </c>
      <c r="G128" s="19">
        <f>SUM(tblCategoriaDespesa_13[may])</f>
        <v>0</v>
      </c>
      <c r="H128" s="19">
        <f>SUM(tblCategoriaDespesa_13[jun])</f>
        <v>0</v>
      </c>
      <c r="I128" s="19">
        <f>SUM(tblCategoriaDespesa_13[jul])</f>
        <v>0</v>
      </c>
      <c r="J128" s="19">
        <f>SUM(tblCategoriaDespesa_13[aug])</f>
        <v>0</v>
      </c>
      <c r="K128" s="19">
        <f>SUM(tblCategoriaDespesa_13[sep])</f>
        <v>0</v>
      </c>
      <c r="L128" s="19">
        <f>SUM(tblCategoriaDespesa_13[oct])</f>
        <v>0</v>
      </c>
      <c r="M128" s="19">
        <f>SUM(tblCategoriaDespesa_13[nov])</f>
        <v>0</v>
      </c>
      <c r="N128" s="19">
        <f>SUM(tblCategoriaDespesa_13[dec])</f>
        <v>0</v>
      </c>
      <c r="O128" s="22">
        <f>SUM(tblCategoriaDespesa_13[year])</f>
        <v>0</v>
      </c>
      <c r="P128" s="22">
        <f>tblCategoriaDespesa_13[[#Totals],[year]]/12</f>
        <v>0</v>
      </c>
    </row>
    <row r="129" spans="2:16" ht="16.5" customHeight="1">
      <c r="B129" s="72"/>
      <c r="C129" s="72"/>
      <c r="D129" s="72"/>
      <c r="E129" s="72"/>
      <c r="F129" s="72"/>
      <c r="G129" s="72"/>
      <c r="H129" s="72"/>
      <c r="I129" s="72"/>
      <c r="J129" s="72"/>
      <c r="K129" s="72"/>
      <c r="L129" s="72"/>
      <c r="M129" s="72"/>
      <c r="N129" s="72"/>
      <c r="O129" s="25"/>
      <c r="P129" s="25"/>
    </row>
    <row r="130" spans="2:16" ht="16.5" customHeight="1" thickBot="1">
      <c r="B130" s="8"/>
      <c r="C130" s="11"/>
      <c r="D130" s="11"/>
      <c r="E130" s="11"/>
      <c r="F130" s="11"/>
      <c r="G130" s="11"/>
      <c r="H130" s="11"/>
      <c r="I130" s="11"/>
      <c r="J130" s="11"/>
      <c r="K130" s="11"/>
      <c r="L130" s="11"/>
      <c r="M130" s="11"/>
      <c r="N130" s="11"/>
      <c r="O130" s="25"/>
      <c r="P130" s="25"/>
    </row>
    <row r="131" spans="2:16" ht="16.5" customHeight="1" thickTop="1">
      <c r="B131" s="13" t="s">
        <v>1</v>
      </c>
      <c r="C131" s="12"/>
      <c r="D131" s="12"/>
      <c r="E131" s="12"/>
      <c r="F131" s="12"/>
      <c r="G131" s="12"/>
      <c r="H131" s="12"/>
      <c r="I131" s="12"/>
      <c r="J131" s="12"/>
      <c r="K131" s="12"/>
      <c r="L131" s="12"/>
      <c r="M131" s="12"/>
      <c r="N131" s="12"/>
      <c r="O131" s="26"/>
      <c r="P131" s="26"/>
    </row>
    <row r="132" spans="2:16" ht="16.5" customHeight="1">
      <c r="B132" s="18"/>
      <c r="C132" s="19"/>
      <c r="D132" s="19"/>
      <c r="E132" s="19"/>
      <c r="F132" s="19"/>
      <c r="G132" s="19"/>
      <c r="H132" s="19"/>
      <c r="I132" s="19"/>
      <c r="J132" s="19"/>
      <c r="K132" s="19"/>
      <c r="L132" s="19"/>
      <c r="M132" s="19"/>
      <c r="N132" s="19"/>
      <c r="O132" s="22">
        <f>SUM(tblCategoriaDespesa_14[[#This Row],[jan]:[dec]])</f>
        <v>0</v>
      </c>
      <c r="P132" s="22">
        <f>tblCategoriaDespesa_14[[#This Row],[year]]/12</f>
        <v>0</v>
      </c>
    </row>
    <row r="133" spans="2:16" ht="16.5" customHeight="1">
      <c r="B133" s="18"/>
      <c r="C133" s="19"/>
      <c r="D133" s="19"/>
      <c r="E133" s="19"/>
      <c r="F133" s="19"/>
      <c r="G133" s="19"/>
      <c r="H133" s="19"/>
      <c r="I133" s="19"/>
      <c r="J133" s="19"/>
      <c r="K133" s="19"/>
      <c r="L133" s="19"/>
      <c r="M133" s="19"/>
      <c r="N133" s="19"/>
      <c r="O133" s="22">
        <f>SUM(tblCategoriaDespesa_14[[#This Row],[jan]:[dec]])</f>
        <v>0</v>
      </c>
      <c r="P133" s="22">
        <f>tblCategoriaDespesa_14[[#This Row],[year]]/12</f>
        <v>0</v>
      </c>
    </row>
    <row r="134" spans="2:16" ht="16.5" customHeight="1">
      <c r="B134" s="18"/>
      <c r="C134" s="19"/>
      <c r="D134" s="19"/>
      <c r="E134" s="19"/>
      <c r="F134" s="19"/>
      <c r="G134" s="19"/>
      <c r="H134" s="19"/>
      <c r="I134" s="19"/>
      <c r="J134" s="19"/>
      <c r="K134" s="19"/>
      <c r="L134" s="19"/>
      <c r="M134" s="19"/>
      <c r="N134" s="19"/>
      <c r="O134" s="22">
        <f>SUM(tblCategoriaDespesa_14[[#This Row],[jan]:[dec]])</f>
        <v>0</v>
      </c>
      <c r="P134" s="22">
        <f>tblCategoriaDespesa_14[[#This Row],[year]]/12</f>
        <v>0</v>
      </c>
    </row>
    <row r="135" spans="2:16" ht="16.5" customHeight="1">
      <c r="B135" s="18" t="str">
        <f>UPPER("Total " &amp; B131)</f>
        <v xml:space="preserve">TOTAL  </v>
      </c>
      <c r="C135" s="19">
        <f>SUM(tblCategoriaDespesa_14[jan])</f>
        <v>0</v>
      </c>
      <c r="D135" s="19">
        <f>SUM(tblCategoriaDespesa_14[feb])</f>
        <v>0</v>
      </c>
      <c r="E135" s="19">
        <f>SUM(tblCategoriaDespesa_14[mar])</f>
        <v>0</v>
      </c>
      <c r="F135" s="19">
        <f>SUM(tblCategoriaDespesa_14[apr])</f>
        <v>0</v>
      </c>
      <c r="G135" s="19">
        <f>SUM(tblCategoriaDespesa_14[may])</f>
        <v>0</v>
      </c>
      <c r="H135" s="19">
        <f>SUM(tblCategoriaDespesa_14[jun])</f>
        <v>0</v>
      </c>
      <c r="I135" s="19">
        <f>SUM(tblCategoriaDespesa_14[jul])</f>
        <v>0</v>
      </c>
      <c r="J135" s="19">
        <f>SUM(tblCategoriaDespesa_14[aug])</f>
        <v>0</v>
      </c>
      <c r="K135" s="19">
        <f>SUM(tblCategoriaDespesa_14[sep])</f>
        <v>0</v>
      </c>
      <c r="L135" s="19">
        <f>SUM(tblCategoriaDespesa_14[oct])</f>
        <v>0</v>
      </c>
      <c r="M135" s="19">
        <f>SUM(tblCategoriaDespesa_14[nov])</f>
        <v>0</v>
      </c>
      <c r="N135" s="19">
        <f>SUM(tblCategoriaDespesa_14[dec])</f>
        <v>0</v>
      </c>
      <c r="O135" s="22">
        <f>SUM(tblCategoriaDespesa_14[year])</f>
        <v>0</v>
      </c>
      <c r="P135" s="22">
        <f>tblCategoriaDespesa_14[[#Totals],[year]]/12</f>
        <v>0</v>
      </c>
    </row>
    <row r="136" spans="2:16" ht="16.5" customHeight="1">
      <c r="B136" s="72"/>
      <c r="C136" s="72"/>
      <c r="D136" s="72"/>
      <c r="E136" s="72"/>
      <c r="F136" s="72"/>
      <c r="G136" s="72"/>
      <c r="H136" s="72"/>
      <c r="I136" s="72"/>
      <c r="J136" s="72"/>
      <c r="K136" s="72"/>
      <c r="L136" s="72"/>
      <c r="M136" s="72"/>
      <c r="N136" s="72"/>
      <c r="O136" s="25"/>
      <c r="P136" s="25"/>
    </row>
    <row r="137" spans="2:16" ht="16.5" customHeight="1" thickBot="1">
      <c r="B137" s="8"/>
      <c r="C137" s="11"/>
      <c r="D137" s="11"/>
      <c r="E137" s="11"/>
      <c r="F137" s="11"/>
      <c r="G137" s="11"/>
      <c r="H137" s="11"/>
      <c r="I137" s="11"/>
      <c r="J137" s="11"/>
      <c r="K137" s="11"/>
      <c r="L137" s="11"/>
      <c r="M137" s="11"/>
      <c r="N137" s="11"/>
      <c r="O137" s="25"/>
      <c r="P137" s="25"/>
    </row>
    <row r="138" spans="2:16" ht="16.5" customHeight="1" thickTop="1">
      <c r="B138" s="13" t="s">
        <v>1</v>
      </c>
      <c r="C138" s="12"/>
      <c r="D138" s="12"/>
      <c r="E138" s="12"/>
      <c r="F138" s="12"/>
      <c r="G138" s="12"/>
      <c r="H138" s="12"/>
      <c r="I138" s="12"/>
      <c r="J138" s="12"/>
      <c r="K138" s="12"/>
      <c r="L138" s="12"/>
      <c r="M138" s="12"/>
      <c r="N138" s="12"/>
      <c r="O138" s="26"/>
      <c r="P138" s="26"/>
    </row>
    <row r="139" spans="2:16" ht="16.5" customHeight="1">
      <c r="B139" s="18"/>
      <c r="C139" s="19"/>
      <c r="D139" s="19"/>
      <c r="E139" s="19"/>
      <c r="F139" s="19"/>
      <c r="G139" s="19"/>
      <c r="H139" s="19"/>
      <c r="I139" s="19"/>
      <c r="J139" s="19"/>
      <c r="K139" s="19"/>
      <c r="L139" s="19"/>
      <c r="M139" s="19"/>
      <c r="N139" s="19"/>
      <c r="O139" s="22">
        <f>SUM(tblCategoriaDespesa_15[[#This Row],[jan]:[dec]])</f>
        <v>0</v>
      </c>
      <c r="P139" s="22">
        <f>tblCategoriaDespesa_15[[#This Row],[year]]/12</f>
        <v>0</v>
      </c>
    </row>
    <row r="140" spans="2:16" ht="16.5" customHeight="1">
      <c r="B140" s="18"/>
      <c r="C140" s="19"/>
      <c r="D140" s="19"/>
      <c r="E140" s="19"/>
      <c r="F140" s="19"/>
      <c r="G140" s="19"/>
      <c r="H140" s="19"/>
      <c r="I140" s="19"/>
      <c r="J140" s="19"/>
      <c r="K140" s="19"/>
      <c r="L140" s="19"/>
      <c r="M140" s="19"/>
      <c r="N140" s="19"/>
      <c r="O140" s="22">
        <f>SUM(tblCategoriaDespesa_15[[#This Row],[jan]:[dec]])</f>
        <v>0</v>
      </c>
      <c r="P140" s="22">
        <f>tblCategoriaDespesa_15[[#This Row],[year]]/12</f>
        <v>0</v>
      </c>
    </row>
    <row r="141" spans="2:16" ht="16.5" customHeight="1">
      <c r="B141" s="18"/>
      <c r="C141" s="19"/>
      <c r="D141" s="19"/>
      <c r="E141" s="19"/>
      <c r="F141" s="19"/>
      <c r="G141" s="19"/>
      <c r="H141" s="19"/>
      <c r="I141" s="19"/>
      <c r="J141" s="19"/>
      <c r="K141" s="19"/>
      <c r="L141" s="19"/>
      <c r="M141" s="19"/>
      <c r="N141" s="19"/>
      <c r="O141" s="22">
        <f>SUM(tblCategoriaDespesa_15[[#This Row],[jan]:[dec]])</f>
        <v>0</v>
      </c>
      <c r="P141" s="22">
        <f>tblCategoriaDespesa_15[[#This Row],[year]]/12</f>
        <v>0</v>
      </c>
    </row>
    <row r="142" spans="2:16" ht="16.5" customHeight="1">
      <c r="B142" s="18" t="str">
        <f>UPPER("Total " &amp; B138)</f>
        <v xml:space="preserve">TOTAL  </v>
      </c>
      <c r="C142" s="19">
        <f>SUM(tblCategoriaDespesa_15[jan])</f>
        <v>0</v>
      </c>
      <c r="D142" s="19">
        <f>SUM(tblCategoriaDespesa_15[feb])</f>
        <v>0</v>
      </c>
      <c r="E142" s="19">
        <f>SUM(tblCategoriaDespesa_15[mar])</f>
        <v>0</v>
      </c>
      <c r="F142" s="19">
        <f>SUM(tblCategoriaDespesa_15[apr])</f>
        <v>0</v>
      </c>
      <c r="G142" s="19">
        <f>SUM(tblCategoriaDespesa_15[may])</f>
        <v>0</v>
      </c>
      <c r="H142" s="19">
        <f>SUM(tblCategoriaDespesa_15[jun])</f>
        <v>0</v>
      </c>
      <c r="I142" s="19">
        <f>SUM(tblCategoriaDespesa_15[jul])</f>
        <v>0</v>
      </c>
      <c r="J142" s="19">
        <f>SUM(tblCategoriaDespesa_15[aug])</f>
        <v>0</v>
      </c>
      <c r="K142" s="19">
        <f>SUM(tblCategoriaDespesa_15[sep])</f>
        <v>0</v>
      </c>
      <c r="L142" s="19">
        <f>SUM(tblCategoriaDespesa_15[oct])</f>
        <v>0</v>
      </c>
      <c r="M142" s="19">
        <f>SUM(tblCategoriaDespesa_15[nov])</f>
        <v>0</v>
      </c>
      <c r="N142" s="19">
        <f>SUM(tblCategoriaDespesa_15[dec])</f>
        <v>0</v>
      </c>
      <c r="O142" s="22">
        <f>SUM(tblCategoriaDespesa_15[year])</f>
        <v>0</v>
      </c>
      <c r="P142" s="22">
        <f>tblCategoriaDespesa_15[[#Totals],[year]]/12</f>
        <v>0</v>
      </c>
    </row>
  </sheetData>
  <mergeCells count="15">
    <mergeCell ref="B129:N129"/>
    <mergeCell ref="B136:N136"/>
    <mergeCell ref="B122:N122"/>
    <mergeCell ref="B19:N19"/>
    <mergeCell ref="B74:N74"/>
    <mergeCell ref="B82:N82"/>
    <mergeCell ref="B92:N92"/>
    <mergeCell ref="B99:N99"/>
    <mergeCell ref="B108:N108"/>
    <mergeCell ref="B115:N115"/>
    <mergeCell ref="B31:N31"/>
    <mergeCell ref="B40:N40"/>
    <mergeCell ref="B50:N50"/>
    <mergeCell ref="B59:N59"/>
    <mergeCell ref="B67:N67"/>
  </mergeCells>
  <dataValidations count="17">
    <dataValidation type="list" allowBlank="1" sqref="B13:B17">
      <formula1>renda</formula1>
    </dataValidation>
    <dataValidation type="list" allowBlank="1" sqref="B21 B33 B42 B52 B61 B69 B76 B84 B94 B101 B110 B117 B124 B131 B138">
      <formula1>categorias_despesas</formula1>
    </dataValidation>
    <dataValidation type="list" allowBlank="1" sqref="B22:B29">
      <formula1>lista_de_categorias_de_despesas_01</formula1>
    </dataValidation>
    <dataValidation type="list" allowBlank="1" sqref="B34:B38">
      <formula1>lista_de_categorias_de_despesas_02</formula1>
    </dataValidation>
    <dataValidation type="list" allowBlank="1" sqref="B43:B48">
      <formula1>lista_de_categorias_de_despesas_03</formula1>
    </dataValidation>
    <dataValidation type="list" allowBlank="1" sqref="B53:B57">
      <formula1>lista_de_categorias_de_despesas_04</formula1>
    </dataValidation>
    <dataValidation type="list" allowBlank="1" sqref="B62:B65">
      <formula1>lista_de_categorias_de_despesas_05</formula1>
    </dataValidation>
    <dataValidation type="list" allowBlank="1" sqref="B70:B72">
      <formula1>lista_de_categorias_de_despesas_06</formula1>
    </dataValidation>
    <dataValidation type="list" allowBlank="1" sqref="B77:B80">
      <formula1>lista_de_categorias_de_despesas_07</formula1>
    </dataValidation>
    <dataValidation type="list" allowBlank="1" sqref="B85:B90">
      <formula1>lista_de_categorias_de_despesas_08</formula1>
    </dataValidation>
    <dataValidation type="list" allowBlank="1" sqref="B95:B97">
      <formula1>lista_de_categorias_de_despesas_09</formula1>
    </dataValidation>
    <dataValidation type="list" allowBlank="1" sqref="B102:B106">
      <formula1>lista_de_categorias_de_despesas_10</formula1>
    </dataValidation>
    <dataValidation type="list" allowBlank="1" sqref="B111:B113">
      <formula1>lista_de_categorias_de_despesas_11</formula1>
    </dataValidation>
    <dataValidation type="list" allowBlank="1" sqref="B118:B120">
      <formula1>lista_de_categorias_de_despesas_12</formula1>
    </dataValidation>
    <dataValidation type="list" allowBlank="1" sqref="B125:B127">
      <formula1>lista_de_categorias_de_despesas_13</formula1>
    </dataValidation>
    <dataValidation type="list" allowBlank="1" sqref="B132:B134">
      <formula1>lista_de_categorias_de_despesas_14</formula1>
    </dataValidation>
    <dataValidation type="list" allowBlank="1" sqref="B139:B141">
      <formula1>lista_de_categorias_de_despesas_15</formula1>
    </dataValidation>
  </dataValidations>
  <pageMargins left="0.7" right="0.7" top="0.75" bottom="0.75" header="0.3" footer="0.3"/>
  <pageSetup paperSize="9" fitToHeight="0" orientation="landscape" r:id="rId1"/>
  <colBreaks count="1" manualBreakCount="1">
    <brk id="16" max="1048575" man="1"/>
  </colBreaks>
  <drawing r:id="rId2"/>
  <legacyDrawing r:id="rId3"/>
  <picture r:id="rId4"/>
  <tableParts count="1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40"/>
  <sheetViews>
    <sheetView showGridLines="0" workbookViewId="0"/>
  </sheetViews>
  <sheetFormatPr defaultRowHeight="14.25"/>
  <cols>
    <col min="2" max="2" width="32.28515625" customWidth="1"/>
  </cols>
  <sheetData>
    <row r="1" spans="2:16">
      <c r="B1" t="s">
        <v>130</v>
      </c>
    </row>
    <row r="4" spans="2:16">
      <c r="B4" t="s">
        <v>123</v>
      </c>
      <c r="C4">
        <v>1</v>
      </c>
    </row>
    <row r="5" spans="2:16">
      <c r="D5" s="2"/>
      <c r="E5" s="2"/>
      <c r="F5" s="2"/>
      <c r="G5" s="2"/>
      <c r="H5" s="2"/>
      <c r="I5" s="2"/>
      <c r="J5" s="2"/>
      <c r="K5" s="2"/>
      <c r="L5" s="2"/>
      <c r="M5" s="2"/>
      <c r="N5" s="2"/>
      <c r="O5" s="2"/>
    </row>
    <row r="6" spans="2:16">
      <c r="C6" t="s">
        <v>2</v>
      </c>
      <c r="D6" t="s">
        <v>114</v>
      </c>
      <c r="E6" t="s">
        <v>3</v>
      </c>
      <c r="F6" t="s">
        <v>115</v>
      </c>
      <c r="G6" t="s">
        <v>116</v>
      </c>
      <c r="H6" t="s">
        <v>4</v>
      </c>
      <c r="I6" t="s">
        <v>5</v>
      </c>
      <c r="J6" t="s">
        <v>117</v>
      </c>
      <c r="K6" t="s">
        <v>118</v>
      </c>
      <c r="L6" t="s">
        <v>119</v>
      </c>
      <c r="M6" t="s">
        <v>6</v>
      </c>
      <c r="N6" t="s">
        <v>120</v>
      </c>
      <c r="O6" t="s">
        <v>121</v>
      </c>
      <c r="P6" t="s">
        <v>122</v>
      </c>
    </row>
    <row r="7" spans="2:16">
      <c r="B7" s="2" t="str">
        <f>LOWER(Orçamento!B138)</f>
        <v xml:space="preserve"> </v>
      </c>
      <c r="C7" s="1">
        <f>SUM(tblCategoriaDespesa_15[jan])</f>
        <v>0</v>
      </c>
      <c r="D7" s="1">
        <f>SUM(tblCategoriaDespesa_15[feb])</f>
        <v>0</v>
      </c>
      <c r="E7" s="1">
        <f>SUM(tblCategoriaDespesa_15[mar])</f>
        <v>0</v>
      </c>
      <c r="F7" s="1">
        <f>SUM(tblCategoriaDespesa_15[apr])</f>
        <v>0</v>
      </c>
      <c r="G7" s="1">
        <f>SUM(tblCategoriaDespesa_15[may])</f>
        <v>0</v>
      </c>
      <c r="H7" s="1">
        <f>SUM(tblCategoriaDespesa_15[jun])</f>
        <v>0</v>
      </c>
      <c r="I7" s="1">
        <f>SUM(tblCategoriaDespesa_15[jul])</f>
        <v>0</v>
      </c>
      <c r="J7" s="1">
        <f>SUM(tblCategoriaDespesa_15[aug])</f>
        <v>0</v>
      </c>
      <c r="K7" s="1">
        <f>SUM(tblCategoriaDespesa_15[sep])</f>
        <v>0</v>
      </c>
      <c r="L7" s="1">
        <f>SUM(tblCategoriaDespesa_15[oct])</f>
        <v>0</v>
      </c>
      <c r="M7" s="1">
        <f>SUM(tblCategoriaDespesa_15[nov])</f>
        <v>0</v>
      </c>
      <c r="N7" s="1">
        <f>SUM(tblCategoriaDespesa_15[dec])</f>
        <v>0</v>
      </c>
      <c r="O7" s="1">
        <f>SUM(tblCategoriaDespesa_15[year])</f>
        <v>0</v>
      </c>
      <c r="P7" s="1">
        <f>SUM(tblCategoriaDespesa_15[avg])</f>
        <v>0</v>
      </c>
    </row>
    <row r="8" spans="2:16">
      <c r="B8" s="2" t="str">
        <f>LOWER(Orçamento!B131)</f>
        <v xml:space="preserve"> </v>
      </c>
      <c r="C8" s="1">
        <f>SUM(tblCategoriaDespesa_14[jan])</f>
        <v>0</v>
      </c>
      <c r="D8" s="1">
        <f>SUM(tblCategoriaDespesa_14[feb])</f>
        <v>0</v>
      </c>
      <c r="E8" s="1">
        <f>SUM(tblCategoriaDespesa_14[mar])</f>
        <v>0</v>
      </c>
      <c r="F8" s="1">
        <f>SUM(tblCategoriaDespesa_14[apr])</f>
        <v>0</v>
      </c>
      <c r="G8" s="1">
        <f>SUM(tblCategoriaDespesa_14[may])</f>
        <v>0</v>
      </c>
      <c r="H8" s="1">
        <f>SUM(tblCategoriaDespesa_14[jun])</f>
        <v>0</v>
      </c>
      <c r="I8" s="1">
        <f>SUM(tblCategoriaDespesa_14[jul])</f>
        <v>0</v>
      </c>
      <c r="J8" s="1">
        <f>SUM(tblCategoriaDespesa_14[aug])</f>
        <v>0</v>
      </c>
      <c r="K8" s="1">
        <f>SUM(tblCategoriaDespesa_14[sep])</f>
        <v>0</v>
      </c>
      <c r="L8" s="1">
        <f>SUM(tblCategoriaDespesa_14[oct])</f>
        <v>0</v>
      </c>
      <c r="M8" s="1">
        <f>SUM(tblCategoriaDespesa_14[nov])</f>
        <v>0</v>
      </c>
      <c r="N8" s="1">
        <f>SUM(tblCategoriaDespesa_14[dec])</f>
        <v>0</v>
      </c>
      <c r="O8" s="1">
        <f>SUM(tblCategoriaDespesa_14[year])</f>
        <v>0</v>
      </c>
      <c r="P8" s="1">
        <f>SUM(tblCategoriaDespesa_14[avg])</f>
        <v>0</v>
      </c>
    </row>
    <row r="9" spans="2:16">
      <c r="B9" s="2"/>
      <c r="C9" s="1">
        <f>SUM(tblCategoriaDespesa_13[jan])</f>
        <v>0</v>
      </c>
      <c r="D9" s="1">
        <f>SUM(tblCategoriaDespesa_13[feb])</f>
        <v>0</v>
      </c>
      <c r="E9" s="1">
        <f>SUM(tblCategoriaDespesa_13[mar])</f>
        <v>0</v>
      </c>
      <c r="F9" s="1">
        <f>SUM(tblCategoriaDespesa_13[apr])</f>
        <v>0</v>
      </c>
      <c r="G9" s="1">
        <f>SUM(tblCategoriaDespesa_13[may])</f>
        <v>0</v>
      </c>
      <c r="H9" s="1">
        <f>SUM(tblCategoriaDespesa_13[jun])</f>
        <v>0</v>
      </c>
      <c r="I9" s="1">
        <f>SUM(tblCategoriaDespesa_13[jul])</f>
        <v>0</v>
      </c>
      <c r="J9" s="1">
        <f>SUM(tblCategoriaDespesa_13[aug])</f>
        <v>0</v>
      </c>
      <c r="K9" s="1">
        <f>SUM(tblCategoriaDespesa_13[sep])</f>
        <v>0</v>
      </c>
      <c r="L9" s="1">
        <f>SUM(tblCategoriaDespesa_13[oct])</f>
        <v>0</v>
      </c>
      <c r="M9" s="1">
        <f>SUM(tblCategoriaDespesa_13[nov])</f>
        <v>0</v>
      </c>
      <c r="N9" s="1">
        <f>SUM(tblCategoriaDespesa_13[dec])</f>
        <v>0</v>
      </c>
      <c r="O9" s="1">
        <f>SUM(tblCategoriaDespesa_13[year])</f>
        <v>0</v>
      </c>
      <c r="P9" s="1">
        <f>SUM(tblCategoriaDespesa_13[avg])</f>
        <v>0</v>
      </c>
    </row>
    <row r="10" spans="2:16">
      <c r="B10" s="2" t="str">
        <f>LOWER(Orçamento!B117)</f>
        <v xml:space="preserve"> </v>
      </c>
      <c r="C10" s="1">
        <f>SUM(tblCategoriaDespesa_12[jan])</f>
        <v>0</v>
      </c>
      <c r="D10" s="1">
        <f>SUM(tblCategoriaDespesa_12[feb])</f>
        <v>0</v>
      </c>
      <c r="E10" s="1">
        <f>SUM(tblCategoriaDespesa_12[mar])</f>
        <v>0</v>
      </c>
      <c r="F10" s="1">
        <f>SUM(tblCategoriaDespesa_12[apr])</f>
        <v>0</v>
      </c>
      <c r="G10" s="1">
        <f>SUM(tblCategoriaDespesa_12[may])</f>
        <v>0</v>
      </c>
      <c r="H10" s="1">
        <f>SUM(tblCategoriaDespesa_12[jun])</f>
        <v>0</v>
      </c>
      <c r="I10" s="1">
        <f>SUM(tblCategoriaDespesa_12[jul])</f>
        <v>0</v>
      </c>
      <c r="J10" s="1">
        <f>SUM(tblCategoriaDespesa_12[aug])</f>
        <v>0</v>
      </c>
      <c r="K10" s="1">
        <f>SUM(tblCategoriaDespesa_12[sep])</f>
        <v>0</v>
      </c>
      <c r="L10" s="1">
        <f>SUM(tblCategoriaDespesa_12[oct])</f>
        <v>0</v>
      </c>
      <c r="M10" s="1">
        <f>SUM(tblCategoriaDespesa_12[nov])</f>
        <v>0</v>
      </c>
      <c r="N10" s="1">
        <f>SUM(tblCategoriaDespesa_12[dec])</f>
        <v>0</v>
      </c>
      <c r="O10" s="1">
        <f>SUM(tblCategoriaDespesa_12[year])</f>
        <v>0</v>
      </c>
      <c r="P10" s="1">
        <f>SUM(tblCategoriaDespesa_12[avg])</f>
        <v>0</v>
      </c>
    </row>
    <row r="11" spans="2:16">
      <c r="B11" s="2" t="str">
        <f>LOWER(Orçamento!B110)</f>
        <v xml:space="preserve"> </v>
      </c>
      <c r="C11" s="1">
        <f>SUM(tblCategoriaDespesa_11[jan])</f>
        <v>0</v>
      </c>
      <c r="D11" s="1">
        <f>SUM(tblCategoriaDespesa_11[feb])</f>
        <v>0</v>
      </c>
      <c r="E11" s="1">
        <f>SUM(tblCategoriaDespesa_11[mar])</f>
        <v>0</v>
      </c>
      <c r="F11" s="1">
        <f>SUM(tblCategoriaDespesa_11[apr])</f>
        <v>0</v>
      </c>
      <c r="G11" s="1">
        <f>SUM(tblCategoriaDespesa_11[may])</f>
        <v>0</v>
      </c>
      <c r="H11" s="1">
        <f>SUM(tblCategoriaDespesa_11[jun])</f>
        <v>0</v>
      </c>
      <c r="I11" s="1">
        <f>SUM(tblCategoriaDespesa_11[jul])</f>
        <v>0</v>
      </c>
      <c r="J11" s="1">
        <f>SUM(tblCategoriaDespesa_11[aug])</f>
        <v>0</v>
      </c>
      <c r="K11" s="1">
        <f>SUM(tblCategoriaDespesa_11[sep])</f>
        <v>0</v>
      </c>
      <c r="L11" s="1">
        <f>SUM(tblCategoriaDespesa_11[oct])</f>
        <v>0</v>
      </c>
      <c r="M11" s="1">
        <f>SUM(tblCategoriaDespesa_11[nov])</f>
        <v>0</v>
      </c>
      <c r="N11" s="1">
        <f>SUM(tblCategoriaDespesa_11[dec])</f>
        <v>0</v>
      </c>
      <c r="O11" s="1">
        <f>SUM(tblCategoriaDespesa_11[year])</f>
        <v>0</v>
      </c>
      <c r="P11" s="1">
        <f>SUM(tblCategoriaDespesa_11[avg])</f>
        <v>0</v>
      </c>
    </row>
    <row r="12" spans="2:16">
      <c r="B12" s="2" t="str">
        <f>LOWER(Orçamento!B101)</f>
        <v>obrigações / impostos</v>
      </c>
      <c r="C12" s="1">
        <f>SUM(tblCategoriaDespesa_10[jan])</f>
        <v>0</v>
      </c>
      <c r="D12" s="1">
        <f>SUM(tblCategoriaDespesa_10[feb])</f>
        <v>0</v>
      </c>
      <c r="E12" s="1">
        <f>SUM(tblCategoriaDespesa_10[mar])</f>
        <v>0</v>
      </c>
      <c r="F12" s="1">
        <f>SUM(tblCategoriaDespesa_10[apr])</f>
        <v>0</v>
      </c>
      <c r="G12" s="1">
        <f>SUM(tblCategoriaDespesa_10[may])</f>
        <v>0</v>
      </c>
      <c r="H12" s="1">
        <f>SUM(tblCategoriaDespesa_10[jun])</f>
        <v>0</v>
      </c>
      <c r="I12" s="1">
        <f>SUM(tblCategoriaDespesa_10[jul])</f>
        <v>0</v>
      </c>
      <c r="J12" s="1">
        <f>SUM(tblCategoriaDespesa_10[aug])</f>
        <v>0</v>
      </c>
      <c r="K12" s="1">
        <f>SUM(tblCategoriaDespesa_10[sep])</f>
        <v>0</v>
      </c>
      <c r="L12" s="1">
        <f>SUM(tblCategoriaDespesa_10[oct])</f>
        <v>0</v>
      </c>
      <c r="M12" s="1">
        <f>SUM(tblCategoriaDespesa_10[nov])</f>
        <v>0</v>
      </c>
      <c r="N12" s="1">
        <f>SUM(tblCategoriaDespesa_10[dec])</f>
        <v>0</v>
      </c>
      <c r="O12" s="1">
        <f>SUM(tblCategoriaDespesa_10[year])</f>
        <v>0</v>
      </c>
      <c r="P12" s="1">
        <f>SUM(tblCategoriaDespesa_10[avg])</f>
        <v>0</v>
      </c>
    </row>
    <row r="13" spans="2:16">
      <c r="B13" s="2" t="str">
        <f>LOWER(Orçamento!B94)</f>
        <v>poupança</v>
      </c>
      <c r="C13" s="1">
        <f>SUM(tblCategoriaDespesa_09[jan])</f>
        <v>0</v>
      </c>
      <c r="D13" s="1">
        <f>SUM(tblCategoriaDespesa_09[feb])</f>
        <v>0</v>
      </c>
      <c r="E13" s="1">
        <f>SUM(tblCategoriaDespesa_09[mar])</f>
        <v>0</v>
      </c>
      <c r="F13" s="1">
        <f>SUM(tblCategoriaDespesa_09[apr])</f>
        <v>0</v>
      </c>
      <c r="G13" s="1">
        <f>SUM(tblCategoriaDespesa_09[may])</f>
        <v>0</v>
      </c>
      <c r="H13" s="1">
        <f>SUM(tblCategoriaDespesa_09[jun])</f>
        <v>0</v>
      </c>
      <c r="I13" s="1">
        <f>SUM(tblCategoriaDespesa_09[jul])</f>
        <v>0</v>
      </c>
      <c r="J13" s="1">
        <f>SUM(tblCategoriaDespesa_09[aug])</f>
        <v>0</v>
      </c>
      <c r="K13" s="1">
        <f>SUM(tblCategoriaDespesa_09[sep])</f>
        <v>0</v>
      </c>
      <c r="L13" s="1">
        <f>SUM(tblCategoriaDespesa_09[oct])</f>
        <v>0</v>
      </c>
      <c r="M13" s="1">
        <f>SUM(tblCategoriaDespesa_09[nov])</f>
        <v>0</v>
      </c>
      <c r="N13" s="1">
        <f>SUM(tblCategoriaDespesa_09[dec])</f>
        <v>0</v>
      </c>
      <c r="O13" s="1">
        <f>SUM(tblCategoriaDespesa_09[year])</f>
        <v>0</v>
      </c>
      <c r="P13" s="1">
        <f>SUM(tblCategoriaDespesa_09[avg])</f>
        <v>0</v>
      </c>
    </row>
    <row r="14" spans="2:16">
      <c r="B14" s="2" t="str">
        <f>LOWER(Orçamento!B84)</f>
        <v>lazer e esportes</v>
      </c>
      <c r="C14" s="1">
        <f>SUM(tblCategoriaDespesa_08[jan])</f>
        <v>0</v>
      </c>
      <c r="D14" s="1">
        <f>SUM(tblCategoriaDespesa_08[feb])</f>
        <v>0</v>
      </c>
      <c r="E14" s="1">
        <f>SUM(tblCategoriaDespesa_08[mar])</f>
        <v>0</v>
      </c>
      <c r="F14" s="1">
        <f>SUM(tblCategoriaDespesa_08[apr])</f>
        <v>0</v>
      </c>
      <c r="G14" s="1">
        <f>SUM(tblCategoriaDespesa_08[may])</f>
        <v>0</v>
      </c>
      <c r="H14" s="1">
        <f>SUM(tblCategoriaDespesa_08[jun])</f>
        <v>0</v>
      </c>
      <c r="I14" s="1">
        <f>SUM(tblCategoriaDespesa_08[jul])</f>
        <v>0</v>
      </c>
      <c r="J14" s="1">
        <f>SUM(tblCategoriaDespesa_08[aug])</f>
        <v>0</v>
      </c>
      <c r="K14" s="1">
        <f>SUM(tblCategoriaDespesa_08[sep])</f>
        <v>0</v>
      </c>
      <c r="L14" s="1">
        <f>SUM(tblCategoriaDespesa_08[oct])</f>
        <v>0</v>
      </c>
      <c r="M14" s="1">
        <f>SUM(tblCategoriaDespesa_08[nov])</f>
        <v>0</v>
      </c>
      <c r="N14" s="1">
        <f>SUM(tblCategoriaDespesa_08[dec])</f>
        <v>0</v>
      </c>
      <c r="O14" s="1">
        <f>SUM(tblCategoriaDespesa_08[year])</f>
        <v>0</v>
      </c>
      <c r="P14" s="1">
        <f>SUM(tblCategoriaDespesa_08[avg])</f>
        <v>0</v>
      </c>
    </row>
    <row r="15" spans="2:16">
      <c r="B15" s="2" t="str">
        <f>LOWER(Orçamento!B76)</f>
        <v>educação</v>
      </c>
      <c r="C15" s="1">
        <f>SUM(tblCategoriaDespesa_07[jan])</f>
        <v>0</v>
      </c>
      <c r="D15" s="1">
        <f>SUM(tblCategoriaDespesa_07[feb])</f>
        <v>0</v>
      </c>
      <c r="E15" s="1">
        <f>SUM(tblCategoriaDespesa_07[mar])</f>
        <v>0</v>
      </c>
      <c r="F15" s="1">
        <f>SUM(tblCategoriaDespesa_07[apr])</f>
        <v>0</v>
      </c>
      <c r="G15" s="1">
        <f>SUM(tblCategoriaDespesa_07[may])</f>
        <v>0</v>
      </c>
      <c r="H15" s="1">
        <f>SUM(tblCategoriaDespesa_07[jun])</f>
        <v>0</v>
      </c>
      <c r="I15" s="1">
        <f>SUM(tblCategoriaDespesa_07[jul])</f>
        <v>0</v>
      </c>
      <c r="J15" s="1">
        <f>SUM(tblCategoriaDespesa_07[aug])</f>
        <v>0</v>
      </c>
      <c r="K15" s="1">
        <f>SUM(tblCategoriaDespesa_07[sep])</f>
        <v>0</v>
      </c>
      <c r="L15" s="1">
        <f>SUM(tblCategoriaDespesa_07[oct])</f>
        <v>0</v>
      </c>
      <c r="M15" s="1">
        <f>SUM(tblCategoriaDespesa_07[nov])</f>
        <v>0</v>
      </c>
      <c r="N15" s="1">
        <f>SUM(tblCategoriaDespesa_07[dec])</f>
        <v>0</v>
      </c>
      <c r="O15" s="1">
        <f>SUM(tblCategoriaDespesa_07[year])</f>
        <v>0</v>
      </c>
      <c r="P15" s="1">
        <f>SUM(tblCategoriaDespesa_07[avg])</f>
        <v>0</v>
      </c>
    </row>
    <row r="16" spans="2:16">
      <c r="B16" s="2" t="str">
        <f>LOWER(Orçamento!B69)</f>
        <v>seguro</v>
      </c>
      <c r="C16" s="1">
        <f>SUM(tblCategoriaDespesa_06[jan])</f>
        <v>0</v>
      </c>
      <c r="D16" s="1">
        <f>SUM(tblCategoriaDespesa_06[feb])</f>
        <v>0</v>
      </c>
      <c r="E16" s="1">
        <f>SUM(tblCategoriaDespesa_06[mar])</f>
        <v>0</v>
      </c>
      <c r="F16" s="1">
        <f>SUM(tblCategoriaDespesa_06[apr])</f>
        <v>0</v>
      </c>
      <c r="G16" s="1">
        <f>SUM(tblCategoriaDespesa_06[may])</f>
        <v>0</v>
      </c>
      <c r="H16" s="1">
        <f>SUM(tblCategoriaDespesa_06[jun])</f>
        <v>0</v>
      </c>
      <c r="I16" s="1">
        <f>SUM(tblCategoriaDespesa_06[jul])</f>
        <v>0</v>
      </c>
      <c r="J16" s="1">
        <f>SUM(tblCategoriaDespesa_06[aug])</f>
        <v>0</v>
      </c>
      <c r="K16" s="1">
        <f>SUM(tblCategoriaDespesa_06[sep])</f>
        <v>0</v>
      </c>
      <c r="L16" s="1">
        <f>SUM(tblCategoriaDespesa_06[oct])</f>
        <v>0</v>
      </c>
      <c r="M16" s="1">
        <f>SUM(tblCategoriaDespesa_06[nov])</f>
        <v>0</v>
      </c>
      <c r="N16" s="1">
        <f>SUM(tblCategoriaDespesa_06[dec])</f>
        <v>0</v>
      </c>
      <c r="O16" s="1">
        <f>SUM(tblCategoriaDespesa_06[year])</f>
        <v>0</v>
      </c>
      <c r="P16" s="1">
        <f>SUM(tblCategoriaDespesa_06[avg])</f>
        <v>0</v>
      </c>
    </row>
    <row r="17" spans="2:16">
      <c r="B17" s="2" t="str">
        <f>LOWER(Orçamento!B61)</f>
        <v>saúde</v>
      </c>
      <c r="C17" s="1">
        <f>SUM(tblCategoriaDespesa_05[jan])</f>
        <v>0</v>
      </c>
      <c r="D17" s="1">
        <f>SUM(tblCategoriaDespesa_05[feb])</f>
        <v>0</v>
      </c>
      <c r="E17" s="1">
        <f>SUM(tblCategoriaDespesa_05[mar])</f>
        <v>0</v>
      </c>
      <c r="F17" s="1">
        <f>SUM(tblCategoriaDespesa_05[apr])</f>
        <v>0</v>
      </c>
      <c r="G17" s="1">
        <f>SUM(tblCategoriaDespesa_05[may])</f>
        <v>0</v>
      </c>
      <c r="H17" s="1">
        <f>SUM(tblCategoriaDespesa_05[jun])</f>
        <v>0</v>
      </c>
      <c r="I17" s="1">
        <f>SUM(tblCategoriaDespesa_05[jul])</f>
        <v>0</v>
      </c>
      <c r="J17" s="1">
        <f>SUM(tblCategoriaDespesa_05[aug])</f>
        <v>0</v>
      </c>
      <c r="K17" s="1">
        <f>SUM(tblCategoriaDespesa_05[sep])</f>
        <v>0</v>
      </c>
      <c r="L17" s="1">
        <f>SUM(tblCategoriaDespesa_05[oct])</f>
        <v>0</v>
      </c>
      <c r="M17" s="1">
        <f>SUM(tblCategoriaDespesa_05[nov])</f>
        <v>0</v>
      </c>
      <c r="N17" s="1">
        <f>SUM(tblCategoriaDespesa_05[dec])</f>
        <v>0</v>
      </c>
      <c r="O17" s="1">
        <f>SUM(tblCategoriaDespesa_05[year])</f>
        <v>0</v>
      </c>
      <c r="P17" s="1">
        <f>SUM(tblCategoriaDespesa_05[avg])</f>
        <v>0</v>
      </c>
    </row>
    <row r="18" spans="2:16">
      <c r="B18" s="2" t="str">
        <f>LOWER(Orçamento!B52)</f>
        <v>transporte</v>
      </c>
      <c r="C18" s="1">
        <f>SUM(tblCategoriaDespesa_04[jan])</f>
        <v>68.25</v>
      </c>
      <c r="D18" s="1">
        <f>SUM(tblCategoriaDespesa_04[feb])</f>
        <v>68.25</v>
      </c>
      <c r="E18" s="1">
        <f>SUM(tblCategoriaDespesa_04[mar])</f>
        <v>68.25</v>
      </c>
      <c r="F18" s="1">
        <f>SUM(tblCategoriaDespesa_04[apr])</f>
        <v>68.25</v>
      </c>
      <c r="G18" s="1">
        <f>SUM(tblCategoriaDespesa_04[may])</f>
        <v>68.25</v>
      </c>
      <c r="H18" s="1">
        <f>SUM(tblCategoriaDespesa_04[jun])</f>
        <v>68.25</v>
      </c>
      <c r="I18" s="1">
        <f>SUM(tblCategoriaDespesa_04[jul])</f>
        <v>68.25</v>
      </c>
      <c r="J18" s="1">
        <f>SUM(tblCategoriaDespesa_04[aug])</f>
        <v>68.25</v>
      </c>
      <c r="K18" s="1">
        <f>SUM(tblCategoriaDespesa_04[sep])</f>
        <v>68.25</v>
      </c>
      <c r="L18" s="1">
        <f>SUM(tblCategoriaDespesa_04[oct])</f>
        <v>68.25</v>
      </c>
      <c r="M18" s="1">
        <f>SUM(tblCategoriaDespesa_04[nov])</f>
        <v>68.25</v>
      </c>
      <c r="N18" s="1">
        <f>SUM(tblCategoriaDespesa_04[dec])</f>
        <v>68.25</v>
      </c>
      <c r="O18" s="1">
        <f>SUM(tblCategoriaDespesa_04[year])</f>
        <v>819</v>
      </c>
      <c r="P18" s="1">
        <f>SUM(tblCategoriaDespesa_04[avg])</f>
        <v>68.25</v>
      </c>
    </row>
    <row r="19" spans="2:16">
      <c r="B19" s="2" t="str">
        <f>LOWER(Orçamento!B42)</f>
        <v>filhos</v>
      </c>
      <c r="C19" s="1">
        <f>SUM(tblCategoriaDespesa_03[jan])</f>
        <v>500</v>
      </c>
      <c r="D19" s="1">
        <f>SUM(tblCategoriaDespesa_03[feb])</f>
        <v>500</v>
      </c>
      <c r="E19" s="1">
        <f>SUM(tblCategoriaDespesa_03[mar])</f>
        <v>500</v>
      </c>
      <c r="F19" s="1">
        <f>SUM(tblCategoriaDespesa_03[apr])</f>
        <v>500</v>
      </c>
      <c r="G19" s="1">
        <f>SUM(tblCategoriaDespesa_03[may])</f>
        <v>500</v>
      </c>
      <c r="H19" s="1">
        <f>SUM(tblCategoriaDespesa_03[jun])</f>
        <v>500</v>
      </c>
      <c r="I19" s="1">
        <f>SUM(tblCategoriaDespesa_03[jul])</f>
        <v>500</v>
      </c>
      <c r="J19" s="1">
        <f>SUM(tblCategoriaDespesa_03[aug])</f>
        <v>500</v>
      </c>
      <c r="K19" s="1">
        <f>SUM(tblCategoriaDespesa_03[sep])</f>
        <v>500</v>
      </c>
      <c r="L19" s="1">
        <f>SUM(tblCategoriaDespesa_03[oct])</f>
        <v>500</v>
      </c>
      <c r="M19" s="1">
        <f>SUM(tblCategoriaDespesa_03[nov])</f>
        <v>500</v>
      </c>
      <c r="N19" s="1">
        <f>SUM(tblCategoriaDespesa_03[dec])</f>
        <v>500</v>
      </c>
      <c r="O19" s="1">
        <f>SUM(tblCategoriaDespesa_03[year])</f>
        <v>6000</v>
      </c>
      <c r="P19" s="1">
        <f>SUM(tblCategoriaDespesa_03[avg])</f>
        <v>500</v>
      </c>
    </row>
    <row r="20" spans="2:16">
      <c r="B20" t="str">
        <f>LOWER(Orçamento!B33)</f>
        <v>despesas gerais</v>
      </c>
      <c r="C20" s="1">
        <f>SUM(tblCategoriaDespesa_02[jan])</f>
        <v>1000</v>
      </c>
      <c r="D20" s="1">
        <f>SUM(tblCategoriaDespesa_02[feb])</f>
        <v>1000</v>
      </c>
      <c r="E20" s="1">
        <f>SUM(tblCategoriaDespesa_02[mar])</f>
        <v>1000</v>
      </c>
      <c r="F20" s="1">
        <f>SUM(tblCategoriaDespesa_02[apr])</f>
        <v>1000</v>
      </c>
      <c r="G20" s="1">
        <f>SUM(tblCategoriaDespesa_02[may])</f>
        <v>1000</v>
      </c>
      <c r="H20" s="1">
        <f>SUM(tblCategoriaDespesa_02[jun])</f>
        <v>1000</v>
      </c>
      <c r="I20" s="1">
        <f>SUM(tblCategoriaDespesa_02[jul])</f>
        <v>1000</v>
      </c>
      <c r="J20" s="1">
        <f>SUM(tblCategoriaDespesa_02[aug])</f>
        <v>1000</v>
      </c>
      <c r="K20" s="1">
        <f>SUM(tblCategoriaDespesa_02[sep])</f>
        <v>1000</v>
      </c>
      <c r="L20" s="1">
        <f>SUM(tblCategoriaDespesa_02[oct])</f>
        <v>1000</v>
      </c>
      <c r="M20" s="1">
        <f>SUM(tblCategoriaDespesa_02[nov])</f>
        <v>1000</v>
      </c>
      <c r="N20" s="1">
        <f>SUM(tblCategoriaDespesa_02[dec])</f>
        <v>1000</v>
      </c>
      <c r="O20" s="1">
        <f>SUM(tblCategoriaDespesa_02[year])</f>
        <v>12000</v>
      </c>
      <c r="P20" s="1">
        <f>SUM(tblCategoriaDespesa_02[avg])</f>
        <v>1000</v>
      </c>
    </row>
    <row r="21" spans="2:16">
      <c r="B21" t="str">
        <f>LOWER(Orçamento!B21)</f>
        <v>moradia</v>
      </c>
      <c r="C21" s="1">
        <f>SUM(tblCategoriaDespesa_01[jan])</f>
        <v>5809</v>
      </c>
      <c r="D21" s="1">
        <f>SUM(tblCategoriaDespesa_01[feb])</f>
        <v>2809</v>
      </c>
      <c r="E21" s="1">
        <f>SUM(tblCategoriaDespesa_01[mar])</f>
        <v>2809</v>
      </c>
      <c r="F21" s="1">
        <f>SUM(tblCategoriaDespesa_01[apr])</f>
        <v>2809</v>
      </c>
      <c r="G21" s="1">
        <f>SUM(tblCategoriaDespesa_01[may])</f>
        <v>2809</v>
      </c>
      <c r="H21" s="1">
        <f>SUM(tblCategoriaDespesa_01[jun])</f>
        <v>2809</v>
      </c>
      <c r="I21" s="1">
        <f>SUM(tblCategoriaDespesa_01[jul])</f>
        <v>2809</v>
      </c>
      <c r="J21" s="1">
        <f>SUM(tblCategoriaDespesa_01[aug])</f>
        <v>2809</v>
      </c>
      <c r="K21" s="1">
        <f>SUM(tblCategoriaDespesa_01[sep])</f>
        <v>2809</v>
      </c>
      <c r="L21" s="1">
        <f>SUM(tblCategoriaDespesa_01[oct])</f>
        <v>2809</v>
      </c>
      <c r="M21" s="1">
        <f>SUM(tblCategoriaDespesa_01[nov])</f>
        <v>2809</v>
      </c>
      <c r="N21" s="1">
        <f>SUM(tblCategoriaDespesa_01[dec])</f>
        <v>2809</v>
      </c>
      <c r="O21" s="1">
        <f>SUM(tblCategoriaDespesa_01[year])</f>
        <v>36708</v>
      </c>
      <c r="P21" s="1">
        <f>SUM(tblCategoriaDespesa_01[avg])</f>
        <v>3059</v>
      </c>
    </row>
    <row r="22" spans="2:16">
      <c r="C22" s="1"/>
      <c r="D22" s="1"/>
      <c r="E22" s="1"/>
      <c r="F22" s="1"/>
      <c r="G22" s="1"/>
      <c r="H22" s="1"/>
      <c r="I22" s="1"/>
      <c r="J22" s="1"/>
      <c r="K22" s="1"/>
      <c r="L22" s="1"/>
      <c r="M22" s="1"/>
      <c r="N22" s="1"/>
      <c r="O22" s="1"/>
      <c r="P22" s="1"/>
    </row>
    <row r="23" spans="2:16">
      <c r="C23" s="1"/>
      <c r="D23" s="1"/>
      <c r="E23" s="1"/>
      <c r="F23" s="1"/>
      <c r="G23" s="1"/>
      <c r="H23" s="1"/>
      <c r="I23" s="1"/>
      <c r="J23" s="1"/>
      <c r="K23" s="1"/>
      <c r="L23" s="1"/>
      <c r="M23" s="1"/>
      <c r="N23" s="1"/>
      <c r="O23" s="1"/>
      <c r="P23" s="1"/>
    </row>
    <row r="24" spans="2:16">
      <c r="C24" s="1"/>
      <c r="D24" s="1"/>
      <c r="E24" s="1"/>
      <c r="F24" s="1"/>
      <c r="G24" s="1"/>
      <c r="H24" s="1"/>
      <c r="I24" s="1"/>
      <c r="J24" s="1"/>
      <c r="K24" s="1"/>
      <c r="L24" s="1"/>
      <c r="M24" s="1"/>
      <c r="N24" s="1"/>
      <c r="O24" s="1"/>
      <c r="P24" s="1"/>
    </row>
    <row r="25" spans="2:16">
      <c r="C25" s="1"/>
      <c r="D25" s="1"/>
      <c r="E25" s="1"/>
      <c r="F25" s="1"/>
      <c r="G25" s="1"/>
      <c r="H25" s="1"/>
      <c r="I25" s="1"/>
      <c r="J25" s="1"/>
      <c r="K25" s="1"/>
      <c r="L25" s="1"/>
      <c r="M25" s="1"/>
      <c r="N25" s="1"/>
      <c r="O25" s="1"/>
      <c r="P25" s="1"/>
    </row>
    <row r="26" spans="2:16">
      <c r="B26" t="s">
        <v>131</v>
      </c>
      <c r="C26" s="1">
        <f>SUM(Orçamento!$C$8:C$8)</f>
        <v>-7376.83272480701</v>
      </c>
      <c r="D26" s="1">
        <f>SUM(Orçamento!$C$8:D$8)</f>
        <v>-11753.66544961402</v>
      </c>
      <c r="E26" s="1">
        <f>SUM(Orçamento!$C$8:E$8)</f>
        <v>-16130.498174421031</v>
      </c>
      <c r="F26" s="1">
        <f>SUM(Orçamento!$C$8:F$8)</f>
        <v>-20507.33089922804</v>
      </c>
      <c r="G26" s="1">
        <f>SUM(Orçamento!$C$8:G$8)</f>
        <v>-24884.163624035049</v>
      </c>
      <c r="H26" s="1">
        <f>SUM(Orçamento!$C$8:H$8)</f>
        <v>-29260.996348842058</v>
      </c>
      <c r="I26" s="1">
        <f>SUM(Orçamento!$C$8:I$8)</f>
        <v>-33637.829073649067</v>
      </c>
      <c r="J26" s="1">
        <f>SUM(Orçamento!$C$8:J$8)</f>
        <v>-38014.66179845608</v>
      </c>
      <c r="K26" s="1">
        <f>SUM(Orçamento!$C$8:K$8)</f>
        <v>-42391.494523263093</v>
      </c>
      <c r="L26" s="1">
        <f>SUM(Orçamento!$C$8:L$8)</f>
        <v>-46768.327248070105</v>
      </c>
      <c r="M26" s="1">
        <f>SUM(Orçamento!$C$8:M$8)</f>
        <v>-51145.159972877118</v>
      </c>
      <c r="N26" s="1">
        <f>SUM(Orçamento!$C$8:N$8)</f>
        <v>-55521.992697684131</v>
      </c>
      <c r="O26" s="1">
        <f>SUM(Orçamento!$C$8:O$8)</f>
        <v>-111043.98539536825</v>
      </c>
      <c r="P26" s="1"/>
    </row>
    <row r="27" spans="2:16">
      <c r="P27" s="1"/>
    </row>
    <row r="28" spans="2:16">
      <c r="B28" t="s">
        <v>132</v>
      </c>
      <c r="C28" s="1" t="e">
        <f>IF(Orçamento!C$8&lt;0,NA(),IF(período+2&lt;&gt;COLUMN(Orçamento!C$8),NA(),Orçamento!C$8))</f>
        <v>#N/A</v>
      </c>
      <c r="D28" s="3" t="e">
        <f>IF(Orçamento!D$8&lt;0,NA(),IF(período+2&lt;&gt;COLUMN(Orçamento!D$8),NA(),Orçamento!D$8))</f>
        <v>#N/A</v>
      </c>
      <c r="E28" s="3" t="e">
        <f>IF(Orçamento!E$8&lt;0,NA(),IF(período+2&lt;&gt;COLUMN(Orçamento!E$8),NA(),Orçamento!E$8))</f>
        <v>#N/A</v>
      </c>
      <c r="F28" s="3" t="e">
        <f>IF(Orçamento!F$8&lt;0,NA(),IF(período+2&lt;&gt;COLUMN(Orçamento!F$8),NA(),Orçamento!F$8))</f>
        <v>#N/A</v>
      </c>
      <c r="G28" s="3" t="e">
        <f>IF(Orçamento!G$8&lt;0,NA(),IF(período+2&lt;&gt;COLUMN(Orçamento!G$8),NA(),Orçamento!G$8))</f>
        <v>#N/A</v>
      </c>
      <c r="H28" s="3" t="e">
        <f>IF(Orçamento!H$8&lt;0,NA(),IF(período+2&lt;&gt;COLUMN(Orçamento!H$8),NA(),Orçamento!H$8))</f>
        <v>#N/A</v>
      </c>
      <c r="I28" s="3" t="e">
        <f>IF(Orçamento!I$8&lt;0,NA(),IF(período+2&lt;&gt;COLUMN(Orçamento!I$8),NA(),Orçamento!I$8))</f>
        <v>#N/A</v>
      </c>
      <c r="J28" s="3" t="e">
        <f>IF(Orçamento!J$8&lt;0,NA(),IF(período+2&lt;&gt;COLUMN(Orçamento!J$8),NA(),Orçamento!J$8))</f>
        <v>#N/A</v>
      </c>
      <c r="K28" s="3" t="e">
        <f>IF(Orçamento!K$8&lt;0,NA(),IF(período+2&lt;&gt;COLUMN(Orçamento!K$8),NA(),Orçamento!K$8))</f>
        <v>#N/A</v>
      </c>
      <c r="L28" s="3" t="e">
        <f>IF(Orçamento!L$8&lt;0,NA(),IF(período+2&lt;&gt;COLUMN(Orçamento!L$8),NA(),Orçamento!L$8))</f>
        <v>#N/A</v>
      </c>
      <c r="M28" s="3" t="e">
        <f>IF(Orçamento!M$8&lt;0,NA(),IF(período+2&lt;&gt;COLUMN(Orçamento!M$8),NA(),Orçamento!M$8))</f>
        <v>#N/A</v>
      </c>
      <c r="N28" s="3" t="e">
        <f>IF(Orçamento!N$8&lt;0,NA(),IF(período+2&lt;&gt;COLUMN(Orçamento!N$8),NA(),Orçamento!N$8))</f>
        <v>#N/A</v>
      </c>
      <c r="O28" s="3" t="e">
        <f>IF(Orçamento!O$8&lt;0,NA(),IF(período+2&lt;&gt;COLUMN(Orçamento!O$8),NA(),Orçamento!O$8))</f>
        <v>#N/A</v>
      </c>
    </row>
    <row r="29" spans="2:16">
      <c r="B29" t="s">
        <v>133</v>
      </c>
      <c r="C29" s="1">
        <f>IF(Orçamento!C$8&gt;=0,NA(),IF(período+2&lt;&gt;COLUMN(Orçamento!C$8),NA(),Orçamento!C$8))</f>
        <v>-7376.83272480701</v>
      </c>
      <c r="D29" s="3" t="e">
        <f>IF(Orçamento!D$8&gt;=0,NA(),IF(período+2&lt;&gt;COLUMN(Orçamento!D$8),NA(),Orçamento!D$8))</f>
        <v>#N/A</v>
      </c>
      <c r="E29" s="3" t="e">
        <f>IF(Orçamento!E$8&gt;=0,NA(),IF(período+2&lt;&gt;COLUMN(Orçamento!E$8),NA(),Orçamento!E$8))</f>
        <v>#N/A</v>
      </c>
      <c r="F29" s="3" t="e">
        <f>IF(Orçamento!F$8&gt;=0,NA(),IF(período+2&lt;&gt;COLUMN(Orçamento!F$8),NA(),Orçamento!F$8))</f>
        <v>#N/A</v>
      </c>
      <c r="G29" s="3" t="e">
        <f>IF(Orçamento!G$8&gt;=0,NA(),IF(período+2&lt;&gt;COLUMN(Orçamento!G$8),NA(),Orçamento!G$8))</f>
        <v>#N/A</v>
      </c>
      <c r="H29" s="3" t="e">
        <f>IF(Orçamento!H$8&gt;=0,NA(),IF(período+2&lt;&gt;COLUMN(Orçamento!H$8),NA(),Orçamento!H$8))</f>
        <v>#N/A</v>
      </c>
      <c r="I29" s="3" t="e">
        <f>IF(Orçamento!I$8&gt;=0,NA(),IF(período+2&lt;&gt;COLUMN(Orçamento!I$8),NA(),Orçamento!I$8))</f>
        <v>#N/A</v>
      </c>
      <c r="J29" s="3" t="e">
        <f>IF(Orçamento!J$8&gt;=0,NA(),IF(período+2&lt;&gt;COLUMN(Orçamento!J$8),NA(),Orçamento!J$8))</f>
        <v>#N/A</v>
      </c>
      <c r="K29" s="3" t="e">
        <f>IF(Orçamento!K$8&gt;=0,NA(),IF(período+2&lt;&gt;COLUMN(Orçamento!K$8),NA(),Orçamento!K$8))</f>
        <v>#N/A</v>
      </c>
      <c r="L29" s="3" t="e">
        <f>IF(Orçamento!L$8&gt;=0,NA(),IF(período+2&lt;&gt;COLUMN(Orçamento!L$8),NA(),Orçamento!L$8))</f>
        <v>#N/A</v>
      </c>
      <c r="M29" s="3" t="e">
        <f>IF(Orçamento!M$8&gt;=0,NA(),IF(período+2&lt;&gt;COLUMN(Orçamento!M$8),NA(),Orçamento!M$8))</f>
        <v>#N/A</v>
      </c>
      <c r="N29" s="3" t="e">
        <f>IF(Orçamento!N$8&gt;=0,NA(),IF(período+2&lt;&gt;COLUMN(Orçamento!N$8),NA(),Orçamento!N$8))</f>
        <v>#N/A</v>
      </c>
      <c r="O29" s="3" t="e">
        <f>IF(Orçamento!O$8&gt;=0,NA(),IF(período+2&lt;&gt;COLUMN(Orçamento!O$8),NA(),Orçamento!O$8))</f>
        <v>#N/A</v>
      </c>
    </row>
    <row r="35" spans="2:4">
      <c r="B35" s="2"/>
    </row>
    <row r="37" spans="2:4">
      <c r="B37" t="str">
        <f>LOWER(exibir_período_long)</f>
        <v>janeiro</v>
      </c>
    </row>
    <row r="38" spans="2:4">
      <c r="B38" t="str">
        <f>exibir_período_long &amp; " renda"</f>
        <v>janeiro renda</v>
      </c>
      <c r="C38" s="29">
        <f>INDEX(Orçamento!$C$6:$P$6,,período)</f>
        <v>0.41727519298977672</v>
      </c>
    </row>
    <row r="39" spans="2:4">
      <c r="B39" t="str">
        <f>exibir_período_long &amp; " despesas: " &amp; TEXT(INDEX(Orçamento!$C$7:$P$7,,período),"R$ #.##0")</f>
        <v>janeiro despesas: R$ 7.377</v>
      </c>
      <c r="C39" s="29">
        <f>INDEX(Orçamento!$C$7:$P$7,,período)</f>
        <v>7377.25</v>
      </c>
    </row>
    <row r="40" spans="2:4">
      <c r="B40" t="str">
        <f>exibir_período_long &amp; " fluxo de caixa"</f>
        <v>janeiro fluxo de caixa</v>
      </c>
      <c r="C40" s="29">
        <f>ABS(INDEX(Orçamento!$C$8:$P$8,,período))</f>
        <v>7376.83272480701</v>
      </c>
      <c r="D40" t="str">
        <f>REPT("-",INDEX(Orçamento!$C$8:$P$8,,período)&lt;0)</f>
        <v>-</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D11" sqref="D11"/>
    </sheetView>
  </sheetViews>
  <sheetFormatPr defaultRowHeight="14.25"/>
  <cols>
    <col min="1" max="1" width="21.7109375" customWidth="1"/>
    <col min="2" max="2" width="15.140625" customWidth="1"/>
    <col min="4" max="4" width="27.42578125" customWidth="1"/>
    <col min="5" max="5" width="14.7109375" customWidth="1"/>
  </cols>
  <sheetData>
    <row r="1" spans="1:5" ht="15">
      <c r="A1" s="74" t="s">
        <v>149</v>
      </c>
      <c r="B1" s="74"/>
      <c r="C1" s="74"/>
      <c r="D1" s="74"/>
      <c r="E1" s="74"/>
    </row>
    <row r="3" spans="1:5">
      <c r="A3" s="60" t="s">
        <v>150</v>
      </c>
      <c r="B3" s="61"/>
      <c r="D3" s="60" t="s">
        <v>172</v>
      </c>
      <c r="E3" s="61"/>
    </row>
    <row r="4" spans="1:5">
      <c r="A4" t="s">
        <v>151</v>
      </c>
      <c r="D4" t="s">
        <v>173</v>
      </c>
    </row>
    <row r="5" spans="1:5">
      <c r="A5" t="s">
        <v>152</v>
      </c>
      <c r="D5" t="s">
        <v>188</v>
      </c>
    </row>
    <row r="6" spans="1:5">
      <c r="A6" t="s">
        <v>154</v>
      </c>
      <c r="D6" t="s">
        <v>174</v>
      </c>
    </row>
    <row r="7" spans="1:5">
      <c r="A7" t="s">
        <v>155</v>
      </c>
      <c r="D7" t="s">
        <v>189</v>
      </c>
    </row>
    <row r="8" spans="1:5">
      <c r="A8" t="s">
        <v>153</v>
      </c>
      <c r="D8" s="2" t="s">
        <v>175</v>
      </c>
    </row>
    <row r="9" spans="1:5">
      <c r="A9" t="s">
        <v>156</v>
      </c>
      <c r="D9" t="s">
        <v>190</v>
      </c>
    </row>
    <row r="10" spans="1:5">
      <c r="A10" t="s">
        <v>157</v>
      </c>
      <c r="D10" t="s">
        <v>191</v>
      </c>
    </row>
    <row r="11" spans="1:5">
      <c r="A11" t="s">
        <v>158</v>
      </c>
    </row>
    <row r="12" spans="1:5">
      <c r="A12" t="s">
        <v>159</v>
      </c>
    </row>
    <row r="13" spans="1:5">
      <c r="A13" t="s">
        <v>160</v>
      </c>
    </row>
    <row r="15" spans="1:5">
      <c r="A15" s="60" t="s">
        <v>161</v>
      </c>
      <c r="B15" s="61"/>
      <c r="D15" s="60" t="s">
        <v>178</v>
      </c>
      <c r="E15" s="61"/>
    </row>
    <row r="16" spans="1:5">
      <c r="A16" t="s">
        <v>162</v>
      </c>
      <c r="D16" t="s">
        <v>179</v>
      </c>
    </row>
    <row r="17" spans="1:4">
      <c r="A17" t="s">
        <v>163</v>
      </c>
      <c r="D17" t="s">
        <v>180</v>
      </c>
    </row>
    <row r="18" spans="1:4">
      <c r="A18" t="s">
        <v>164</v>
      </c>
      <c r="D18" t="s">
        <v>182</v>
      </c>
    </row>
    <row r="19" spans="1:4">
      <c r="A19" t="s">
        <v>165</v>
      </c>
      <c r="D19" t="s">
        <v>181</v>
      </c>
    </row>
    <row r="20" spans="1:4">
      <c r="A20" t="s">
        <v>166</v>
      </c>
      <c r="D20" t="s">
        <v>183</v>
      </c>
    </row>
    <row r="21" spans="1:4">
      <c r="A21" t="s">
        <v>167</v>
      </c>
      <c r="D21" t="s">
        <v>184</v>
      </c>
    </row>
    <row r="22" spans="1:4">
      <c r="A22" t="s">
        <v>168</v>
      </c>
      <c r="D22" t="s">
        <v>185</v>
      </c>
    </row>
    <row r="23" spans="1:4">
      <c r="A23" t="s">
        <v>169</v>
      </c>
      <c r="D23" t="s">
        <v>186</v>
      </c>
    </row>
    <row r="24" spans="1:4">
      <c r="A24" t="s">
        <v>170</v>
      </c>
      <c r="D24" t="s">
        <v>187</v>
      </c>
    </row>
    <row r="25" spans="1:4">
      <c r="A25" t="s">
        <v>171</v>
      </c>
    </row>
    <row r="26" spans="1:4">
      <c r="A26" t="s">
        <v>176</v>
      </c>
    </row>
    <row r="27" spans="1:4">
      <c r="A27" t="s">
        <v>177</v>
      </c>
    </row>
  </sheetData>
  <mergeCells count="1">
    <mergeCell ref="A1:E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L59"/>
  <sheetViews>
    <sheetView showGridLines="0" topLeftCell="A22" workbookViewId="0">
      <selection activeCell="F42" sqref="F42"/>
    </sheetView>
  </sheetViews>
  <sheetFormatPr defaultRowHeight="18.75" customHeight="1"/>
  <cols>
    <col min="1" max="1" width="6.7109375" customWidth="1"/>
    <col min="2" max="2" width="27.140625" customWidth="1"/>
    <col min="3" max="3" width="4.28515625" customWidth="1"/>
    <col min="4" max="4" width="24.28515625" customWidth="1"/>
    <col min="5" max="5" width="4.28515625" customWidth="1"/>
    <col min="6" max="6" width="29.42578125" bestFit="1" customWidth="1"/>
    <col min="7" max="7" width="3.85546875" customWidth="1"/>
    <col min="8" max="8" width="22.5703125" customWidth="1"/>
    <col min="9" max="9" width="3.85546875" customWidth="1"/>
    <col min="10" max="10" width="27.85546875" bestFit="1" customWidth="1"/>
    <col min="11" max="11" width="12.85546875" customWidth="1"/>
    <col min="12" max="12" width="13.5703125" customWidth="1"/>
    <col min="13" max="13" width="19.85546875" customWidth="1"/>
    <col min="14" max="14" width="21.42578125" customWidth="1"/>
    <col min="15" max="15" width="21.7109375" customWidth="1"/>
    <col min="16" max="16" width="18.7109375" customWidth="1"/>
    <col min="17" max="17" width="13.5703125" customWidth="1"/>
    <col min="18" max="18" width="17.85546875" customWidth="1"/>
    <col min="19" max="19" width="14" customWidth="1"/>
    <col min="20" max="20" width="16" customWidth="1"/>
  </cols>
  <sheetData>
    <row r="1" spans="1:12" ht="34.5" customHeight="1">
      <c r="A1" s="4"/>
      <c r="B1" s="17" t="s">
        <v>134</v>
      </c>
      <c r="C1" s="16"/>
      <c r="D1" s="5"/>
      <c r="E1" s="4"/>
      <c r="F1" s="4"/>
      <c r="G1" s="4"/>
      <c r="H1" s="4"/>
      <c r="I1" s="4"/>
      <c r="J1" s="4"/>
      <c r="K1" s="4"/>
      <c r="L1" s="4"/>
    </row>
    <row r="2" spans="1:12" ht="21.75" customHeight="1">
      <c r="B2" s="15" t="s">
        <v>8</v>
      </c>
      <c r="D2" s="15" t="s">
        <v>16</v>
      </c>
      <c r="F2" s="28"/>
      <c r="G2" s="28"/>
      <c r="H2" s="28"/>
      <c r="I2" s="28"/>
      <c r="J2" s="28"/>
      <c r="K2" s="28"/>
    </row>
    <row r="3" spans="1:12" ht="18.75" customHeight="1">
      <c r="B3" t="s">
        <v>9</v>
      </c>
      <c r="D3" t="s">
        <v>1</v>
      </c>
      <c r="F3" s="28"/>
      <c r="G3" s="28"/>
      <c r="H3" s="28"/>
      <c r="I3" s="28"/>
      <c r="J3" s="28"/>
      <c r="K3" s="28"/>
    </row>
    <row r="4" spans="1:12" ht="18.75" customHeight="1">
      <c r="B4" t="s">
        <v>10</v>
      </c>
      <c r="D4" t="s">
        <v>17</v>
      </c>
      <c r="F4" s="14" t="s">
        <v>17</v>
      </c>
      <c r="H4" s="14" t="s">
        <v>18</v>
      </c>
      <c r="J4" s="14" t="s">
        <v>19</v>
      </c>
    </row>
    <row r="5" spans="1:12" ht="18.75" customHeight="1">
      <c r="B5" t="s">
        <v>11</v>
      </c>
      <c r="D5" t="s">
        <v>18</v>
      </c>
      <c r="F5" s="14" t="s">
        <v>32</v>
      </c>
      <c r="H5" s="14" t="s">
        <v>43</v>
      </c>
      <c r="J5" s="14" t="s">
        <v>50</v>
      </c>
    </row>
    <row r="6" spans="1:12" ht="18.75" customHeight="1">
      <c r="B6" t="s">
        <v>12</v>
      </c>
      <c r="D6" t="s">
        <v>19</v>
      </c>
      <c r="F6" s="14" t="s">
        <v>33</v>
      </c>
      <c r="H6" s="14" t="s">
        <v>44</v>
      </c>
      <c r="J6" s="14" t="s">
        <v>45</v>
      </c>
    </row>
    <row r="7" spans="1:12" ht="18.75" customHeight="1">
      <c r="B7" t="s">
        <v>13</v>
      </c>
      <c r="D7" t="s">
        <v>20</v>
      </c>
      <c r="F7" s="14" t="s">
        <v>34</v>
      </c>
      <c r="H7" s="14" t="s">
        <v>45</v>
      </c>
      <c r="J7" s="14" t="s">
        <v>51</v>
      </c>
    </row>
    <row r="8" spans="1:12" ht="18.75" customHeight="1">
      <c r="B8" t="s">
        <v>14</v>
      </c>
      <c r="D8" t="s">
        <v>21</v>
      </c>
      <c r="F8" s="14" t="s">
        <v>35</v>
      </c>
      <c r="H8" s="14" t="s">
        <v>46</v>
      </c>
      <c r="J8" s="14" t="s">
        <v>52</v>
      </c>
    </row>
    <row r="9" spans="1:12" ht="18.75" customHeight="1">
      <c r="B9" t="s">
        <v>15</v>
      </c>
      <c r="D9" t="s">
        <v>22</v>
      </c>
      <c r="F9" s="14" t="s">
        <v>36</v>
      </c>
      <c r="H9" s="14" t="s">
        <v>47</v>
      </c>
      <c r="J9" s="14" t="s">
        <v>53</v>
      </c>
    </row>
    <row r="10" spans="1:12" ht="18.75" customHeight="1">
      <c r="D10" t="s">
        <v>23</v>
      </c>
      <c r="F10" s="14" t="s">
        <v>37</v>
      </c>
      <c r="H10" s="14" t="s">
        <v>48</v>
      </c>
      <c r="J10" s="14" t="s">
        <v>54</v>
      </c>
    </row>
    <row r="11" spans="1:12" ht="18.75" customHeight="1">
      <c r="D11" t="s">
        <v>24</v>
      </c>
      <c r="F11" s="14" t="s">
        <v>0</v>
      </c>
      <c r="H11" s="14" t="s">
        <v>49</v>
      </c>
      <c r="J11" s="14" t="s">
        <v>55</v>
      </c>
    </row>
    <row r="12" spans="1:12" ht="18.75" customHeight="1">
      <c r="D12" t="s">
        <v>25</v>
      </c>
      <c r="F12" s="14" t="s">
        <v>38</v>
      </c>
      <c r="H12" s="14" t="s">
        <v>15</v>
      </c>
      <c r="J12" s="14" t="s">
        <v>15</v>
      </c>
    </row>
    <row r="13" spans="1:12" ht="18.75" customHeight="1">
      <c r="D13" t="s">
        <v>26</v>
      </c>
      <c r="F13" s="14" t="s">
        <v>39</v>
      </c>
    </row>
    <row r="14" spans="1:12" ht="18.75" customHeight="1">
      <c r="D14" t="s">
        <v>27</v>
      </c>
      <c r="F14" s="14" t="s">
        <v>40</v>
      </c>
    </row>
    <row r="15" spans="1:12" ht="18.75" customHeight="1">
      <c r="D15" t="s">
        <v>28</v>
      </c>
      <c r="F15" s="14" t="s">
        <v>41</v>
      </c>
    </row>
    <row r="16" spans="1:12" ht="18.75" customHeight="1">
      <c r="D16" t="s">
        <v>29</v>
      </c>
      <c r="F16" s="14" t="s">
        <v>42</v>
      </c>
    </row>
    <row r="17" spans="4:10" ht="18.75" customHeight="1">
      <c r="D17" t="s">
        <v>30</v>
      </c>
      <c r="F17" s="14" t="s">
        <v>15</v>
      </c>
    </row>
    <row r="18" spans="4:10" ht="18.75" customHeight="1">
      <c r="D18" t="s">
        <v>31</v>
      </c>
    </row>
    <row r="20" spans="4:10" ht="18.75" customHeight="1">
      <c r="F20" s="14" t="s">
        <v>20</v>
      </c>
      <c r="H20" s="14" t="s">
        <v>21</v>
      </c>
      <c r="J20" s="14" t="s">
        <v>22</v>
      </c>
    </row>
    <row r="21" spans="4:10" ht="18.75" customHeight="1">
      <c r="F21" s="14" t="s">
        <v>56</v>
      </c>
      <c r="H21" s="14" t="s">
        <v>61</v>
      </c>
      <c r="J21" s="14" t="s">
        <v>65</v>
      </c>
    </row>
    <row r="22" spans="4:10" ht="18.75" customHeight="1">
      <c r="F22" s="14" t="s">
        <v>57</v>
      </c>
      <c r="H22" s="14" t="s">
        <v>62</v>
      </c>
      <c r="J22" s="14" t="s">
        <v>21</v>
      </c>
    </row>
    <row r="23" spans="4:10" ht="18.75" customHeight="1">
      <c r="F23" s="14" t="s">
        <v>58</v>
      </c>
      <c r="H23" s="14" t="s">
        <v>63</v>
      </c>
      <c r="J23" s="14" t="s">
        <v>66</v>
      </c>
    </row>
    <row r="24" spans="4:10" ht="18.75" customHeight="1">
      <c r="F24" s="14" t="s">
        <v>59</v>
      </c>
      <c r="H24" s="14" t="s">
        <v>64</v>
      </c>
      <c r="J24" s="14" t="s">
        <v>67</v>
      </c>
    </row>
    <row r="25" spans="4:10" ht="18.75" customHeight="1">
      <c r="F25" s="14" t="s">
        <v>60</v>
      </c>
      <c r="H25" s="14" t="s">
        <v>15</v>
      </c>
      <c r="J25" s="14" t="s">
        <v>15</v>
      </c>
    </row>
    <row r="26" spans="4:10" ht="18.75" customHeight="1">
      <c r="F26" s="14" t="s">
        <v>15</v>
      </c>
    </row>
    <row r="29" spans="4:10" ht="18.75" customHeight="1">
      <c r="F29" s="14" t="s">
        <v>23</v>
      </c>
      <c r="H29" s="14" t="s">
        <v>24</v>
      </c>
      <c r="J29" s="14" t="s">
        <v>25</v>
      </c>
    </row>
    <row r="30" spans="4:10" ht="18.75" customHeight="1">
      <c r="F30" s="14" t="s">
        <v>68</v>
      </c>
      <c r="H30" s="14" t="s">
        <v>71</v>
      </c>
      <c r="J30" s="14" t="s">
        <v>74</v>
      </c>
    </row>
    <row r="31" spans="4:10" ht="18.75" customHeight="1">
      <c r="F31" s="14" t="s">
        <v>69</v>
      </c>
      <c r="H31" s="14" t="s">
        <v>72</v>
      </c>
      <c r="J31" s="14" t="s">
        <v>75</v>
      </c>
    </row>
    <row r="32" spans="4:10" ht="18.75" customHeight="1">
      <c r="F32" s="14" t="s">
        <v>70</v>
      </c>
      <c r="H32" s="14" t="s">
        <v>73</v>
      </c>
      <c r="J32" s="14" t="s">
        <v>76</v>
      </c>
    </row>
    <row r="33" spans="6:10" ht="18.75" customHeight="1">
      <c r="F33" s="14" t="s">
        <v>148</v>
      </c>
      <c r="H33" s="14" t="s">
        <v>15</v>
      </c>
      <c r="J33" s="14" t="s">
        <v>77</v>
      </c>
    </row>
    <row r="34" spans="6:10" ht="18.75" customHeight="1">
      <c r="F34" s="14" t="s">
        <v>192</v>
      </c>
      <c r="J34" s="14" t="s">
        <v>78</v>
      </c>
    </row>
    <row r="35" spans="6:10" ht="18.75" customHeight="1">
      <c r="F35" s="14" t="s">
        <v>15</v>
      </c>
      <c r="J35" s="14" t="s">
        <v>15</v>
      </c>
    </row>
    <row r="36" spans="6:10" ht="18.75" customHeight="1">
      <c r="F36" s="14"/>
    </row>
    <row r="37" spans="6:10" ht="18.75" customHeight="1">
      <c r="F37" s="14"/>
    </row>
    <row r="38" spans="6:10" ht="18.75" customHeight="1">
      <c r="F38" s="14" t="s">
        <v>26</v>
      </c>
      <c r="H38" s="14" t="s">
        <v>27</v>
      </c>
      <c r="J38" s="14" t="s">
        <v>28</v>
      </c>
    </row>
    <row r="39" spans="6:10" ht="18.75" customHeight="1">
      <c r="F39" s="14" t="s">
        <v>79</v>
      </c>
      <c r="H39" s="14" t="s">
        <v>90</v>
      </c>
      <c r="J39" s="14" t="s">
        <v>100</v>
      </c>
    </row>
    <row r="40" spans="6:10" ht="18.75" customHeight="1">
      <c r="F40" s="14" t="s">
        <v>80</v>
      </c>
      <c r="H40" s="14" t="s">
        <v>91</v>
      </c>
      <c r="J40" s="14" t="s">
        <v>101</v>
      </c>
    </row>
    <row r="41" spans="6:10" ht="18.75" customHeight="1">
      <c r="F41" s="14" t="s">
        <v>82</v>
      </c>
      <c r="H41" s="14" t="s">
        <v>92</v>
      </c>
      <c r="J41" s="14" t="s">
        <v>102</v>
      </c>
    </row>
    <row r="42" spans="6:10" ht="18.75" customHeight="1">
      <c r="F42" s="14" t="s">
        <v>81</v>
      </c>
      <c r="H42" s="14" t="s">
        <v>93</v>
      </c>
      <c r="J42" s="14" t="s">
        <v>15</v>
      </c>
    </row>
    <row r="43" spans="6:10" ht="18.75" customHeight="1">
      <c r="F43" s="14" t="s">
        <v>83</v>
      </c>
      <c r="H43" s="14" t="s">
        <v>94</v>
      </c>
    </row>
    <row r="44" spans="6:10" ht="18.75" customHeight="1">
      <c r="F44" s="14" t="s">
        <v>84</v>
      </c>
      <c r="H44" s="14" t="s">
        <v>95</v>
      </c>
    </row>
    <row r="45" spans="6:10" ht="18.75" customHeight="1">
      <c r="F45" s="14" t="s">
        <v>85</v>
      </c>
      <c r="H45" s="14" t="s">
        <v>69</v>
      </c>
    </row>
    <row r="46" spans="6:10" ht="18.75" customHeight="1">
      <c r="F46" s="14" t="s">
        <v>86</v>
      </c>
      <c r="H46" s="14" t="s">
        <v>7</v>
      </c>
    </row>
    <row r="47" spans="6:10" ht="18.75" customHeight="1">
      <c r="F47" s="14" t="s">
        <v>87</v>
      </c>
      <c r="H47" s="14" t="s">
        <v>96</v>
      </c>
    </row>
    <row r="48" spans="6:10" ht="18.75" customHeight="1">
      <c r="F48" s="14" t="s">
        <v>88</v>
      </c>
      <c r="H48" s="14" t="s">
        <v>97</v>
      </c>
    </row>
    <row r="49" spans="6:10" ht="18.75" customHeight="1">
      <c r="F49" s="14" t="s">
        <v>89</v>
      </c>
      <c r="H49" s="14" t="s">
        <v>98</v>
      </c>
    </row>
    <row r="50" spans="6:10" ht="18.75" customHeight="1">
      <c r="F50" s="14" t="s">
        <v>15</v>
      </c>
      <c r="H50" s="14" t="s">
        <v>99</v>
      </c>
    </row>
    <row r="51" spans="6:10" ht="18.75" customHeight="1">
      <c r="H51" s="14" t="s">
        <v>15</v>
      </c>
    </row>
    <row r="53" spans="6:10" ht="18.75" customHeight="1">
      <c r="F53" s="14" t="s">
        <v>29</v>
      </c>
      <c r="H53" s="14" t="s">
        <v>30</v>
      </c>
      <c r="J53" s="14" t="s">
        <v>31</v>
      </c>
    </row>
    <row r="54" spans="6:10" ht="18.75" customHeight="1">
      <c r="F54" s="14" t="s">
        <v>103</v>
      </c>
      <c r="H54" s="14" t="s">
        <v>107</v>
      </c>
      <c r="J54" s="14" t="s">
        <v>112</v>
      </c>
    </row>
    <row r="55" spans="6:10" ht="18.75" customHeight="1">
      <c r="F55" s="14" t="s">
        <v>104</v>
      </c>
      <c r="H55" s="14" t="s">
        <v>108</v>
      </c>
      <c r="J55" s="14" t="s">
        <v>113</v>
      </c>
    </row>
    <row r="56" spans="6:10" ht="18.75" customHeight="1">
      <c r="F56" s="14" t="s">
        <v>105</v>
      </c>
      <c r="H56" s="14" t="s">
        <v>109</v>
      </c>
      <c r="J56" s="14" t="s">
        <v>15</v>
      </c>
    </row>
    <row r="57" spans="6:10" ht="18.75" customHeight="1">
      <c r="F57" s="14" t="s">
        <v>106</v>
      </c>
      <c r="H57" s="14" t="s">
        <v>110</v>
      </c>
    </row>
    <row r="58" spans="6:10" ht="18.75" customHeight="1">
      <c r="F58" s="14" t="s">
        <v>15</v>
      </c>
      <c r="H58" s="14" t="s">
        <v>111</v>
      </c>
    </row>
    <row r="59" spans="6:10" ht="18.75" customHeight="1">
      <c r="H59" s="14" t="s">
        <v>15</v>
      </c>
    </row>
  </sheetData>
  <pageMargins left="0.7" right="0.7" top="0.75" bottom="0.75" header="0.3" footer="0.3"/>
  <pageSetup paperSize="9" scale="54" fitToHeight="0" orientation="portrait" r:id="rId1"/>
  <drawing r:id="rId2"/>
  <picture r:id="rId3"/>
  <tableParts count="17">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C45E4A1-AE48-4D6A-9A6A-B8EF5FA77F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6</vt:i4>
      </vt:variant>
      <vt:variant>
        <vt:lpstr>Intervalos nomeados</vt:lpstr>
      </vt:variant>
      <vt:variant>
        <vt:i4>39</vt:i4>
      </vt:variant>
    </vt:vector>
  </HeadingPairs>
  <TitlesOfParts>
    <vt:vector size="45" baseType="lpstr">
      <vt:lpstr>Recursos</vt:lpstr>
      <vt:lpstr>Gastos Antes</vt:lpstr>
      <vt:lpstr>Orçamento</vt:lpstr>
      <vt:lpstr>Dados do Gráfico</vt:lpstr>
      <vt:lpstr>compras</vt:lpstr>
      <vt:lpstr>Configuração</vt:lpstr>
      <vt:lpstr>'Gastos Antes'!categorias_despesas</vt:lpstr>
      <vt:lpstr>categorias_despesas</vt:lpstr>
      <vt:lpstr>CélulaInicial</vt:lpstr>
      <vt:lpstr>'Gastos Antes'!despesas_animais</vt:lpstr>
      <vt:lpstr>despesas_animais</vt:lpstr>
      <vt:lpstr>'Gastos Antes'!despesas_assinaturas</vt:lpstr>
      <vt:lpstr>despesas_assinaturas</vt:lpstr>
      <vt:lpstr>'Gastos Antes'!despesas_caridade</vt:lpstr>
      <vt:lpstr>despesas_caridade</vt:lpstr>
      <vt:lpstr>'Gastos Antes'!despesas_casa</vt:lpstr>
      <vt:lpstr>despesas_casa</vt:lpstr>
      <vt:lpstr>'Gastos Antes'!despesas_diárias</vt:lpstr>
      <vt:lpstr>despesas_diárias</vt:lpstr>
      <vt:lpstr>'Gastos Antes'!despesas_div</vt:lpstr>
      <vt:lpstr>despesas_div</vt:lpstr>
      <vt:lpstr>'Gastos Antes'!despesas_educação</vt:lpstr>
      <vt:lpstr>despesas_educação</vt:lpstr>
      <vt:lpstr>'Gastos Antes'!despesas_entretenimento</vt:lpstr>
      <vt:lpstr>despesas_entretenimento</vt:lpstr>
      <vt:lpstr>'Gastos Antes'!despesas_férias</vt:lpstr>
      <vt:lpstr>despesas_férias</vt:lpstr>
      <vt:lpstr>'Gastos Antes'!despesas_filhos</vt:lpstr>
      <vt:lpstr>despesas_filhos</vt:lpstr>
      <vt:lpstr>'Gastos Antes'!despesas_obrigações</vt:lpstr>
      <vt:lpstr>despesas_obrigações</vt:lpstr>
      <vt:lpstr>'Gastos Antes'!despesas_poupança</vt:lpstr>
      <vt:lpstr>despesas_poupança</vt:lpstr>
      <vt:lpstr>'Gastos Antes'!despesas_saúde</vt:lpstr>
      <vt:lpstr>despesas_saúde</vt:lpstr>
      <vt:lpstr>'Gastos Antes'!despesas_seguro</vt:lpstr>
      <vt:lpstr>despesas_seguro</vt:lpstr>
      <vt:lpstr>'Gastos Antes'!despesas_transporte</vt:lpstr>
      <vt:lpstr>despesas_transporte</vt:lpstr>
      <vt:lpstr>Orçamento!Imprimir_Títulos</vt:lpstr>
      <vt:lpstr>NomeOrçamento</vt:lpstr>
      <vt:lpstr>período</vt:lpstr>
      <vt:lpstr>'Gastos Antes'!renda</vt:lpstr>
      <vt:lpstr>renda</vt:lpstr>
      <vt:lpstr>SaldoInicial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family budget</dc:title>
  <dc:creator>iGo Travel And Coffee</dc:creator>
  <cp:lastModifiedBy>Gabriela e Caio</cp:lastModifiedBy>
  <dcterms:created xsi:type="dcterms:W3CDTF">2015-01-19T15:17:00Z</dcterms:created>
  <dcterms:modified xsi:type="dcterms:W3CDTF">2017-07-09T08:49:35Z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TC027802329991</vt:lpwstr>
  </property>
</Properties>
</file>